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PB\Desktop\Andrea\2022-SDSN\Worging papers\"/>
    </mc:Choice>
  </mc:AlternateContent>
  <xr:revisionPtr revIDLastSave="0" documentId="8_{1487FF7A-90C1-4EF0-8E03-3DA6D5ED8672}" xr6:coauthVersionLast="47" xr6:coauthVersionMax="47" xr10:uidLastSave="{00000000-0000-0000-0000-000000000000}"/>
  <bookViews>
    <workbookView xWindow="-120" yWindow="-120" windowWidth="20730" windowHeight="11040" activeTab="7" xr2:uid="{00000000-000D-0000-FFFF-FFFF00000000}"/>
  </bookViews>
  <sheets>
    <sheet name="Tapa" sheetId="11" r:id="rId1"/>
    <sheet name="LímitesHC" sheetId="1" state="hidden" r:id="rId2"/>
    <sheet name="Resultados HC" sheetId="6" r:id="rId3"/>
    <sheet name="LímitesHH" sheetId="10" state="hidden" r:id="rId4"/>
    <sheet name="Resultados HH" sheetId="8" state="hidden" r:id="rId5"/>
    <sheet name="Transporte aéreo" sheetId="2" r:id="rId6"/>
    <sheet name="Transporte terrestre" sheetId="4" r:id="rId7"/>
    <sheet name="EstadíaHC" sheetId="3" r:id="rId8"/>
    <sheet name="EstadíaHH" sheetId="9" state="hidden" r:id="rId9"/>
    <sheet name="refInfo" sheetId="5" state="hidden" r:id="rId10"/>
    <sheet name="Sheet2" sheetId="7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9" l="1"/>
  <c r="J36" i="9"/>
  <c r="K36" i="9" s="1"/>
  <c r="J37" i="9"/>
  <c r="K37" i="9" s="1"/>
  <c r="J38" i="9"/>
  <c r="K38" i="9" s="1"/>
  <c r="J39" i="9"/>
  <c r="K39" i="9" s="1"/>
  <c r="J35" i="9"/>
  <c r="K35" i="9" s="1"/>
  <c r="J31" i="9"/>
  <c r="L31" i="9" s="1"/>
  <c r="J32" i="9"/>
  <c r="L32" i="9" s="1"/>
  <c r="J33" i="9"/>
  <c r="L33" i="9" s="1"/>
  <c r="J34" i="9"/>
  <c r="L34" i="9" s="1"/>
  <c r="J30" i="9"/>
  <c r="L30" i="9" s="1"/>
  <c r="J26" i="9"/>
  <c r="K26" i="9" s="1"/>
  <c r="J27" i="9"/>
  <c r="K27" i="9" s="1"/>
  <c r="J28" i="9"/>
  <c r="K28" i="9" s="1"/>
  <c r="J29" i="9"/>
  <c r="K29" i="9" s="1"/>
  <c r="J25" i="9"/>
  <c r="K25" i="9" s="1"/>
  <c r="J21" i="9"/>
  <c r="L21" i="9" s="1"/>
  <c r="J22" i="9"/>
  <c r="L22" i="9" s="1"/>
  <c r="J23" i="9"/>
  <c r="K23" i="9" s="1"/>
  <c r="J24" i="9"/>
  <c r="K24" i="9" s="1"/>
  <c r="J20" i="9"/>
  <c r="K20" i="9" s="1"/>
  <c r="E75" i="9"/>
  <c r="E74" i="9"/>
  <c r="E73" i="9"/>
  <c r="E72" i="9"/>
  <c r="E71" i="9"/>
  <c r="B24" i="8"/>
  <c r="B25" i="8"/>
  <c r="B22" i="8"/>
  <c r="B23" i="8"/>
  <c r="B21" i="8"/>
  <c r="B20" i="8"/>
  <c r="B18" i="8"/>
  <c r="B19" i="8"/>
  <c r="B26" i="8"/>
  <c r="K32" i="9" l="1"/>
  <c r="K22" i="9"/>
  <c r="K21" i="9"/>
  <c r="O20" i="9" s="1"/>
  <c r="L20" i="9"/>
  <c r="K34" i="9"/>
  <c r="L29" i="9"/>
  <c r="K33" i="9"/>
  <c r="L28" i="9"/>
  <c r="P22" i="9"/>
  <c r="O23" i="9"/>
  <c r="O21" i="9"/>
  <c r="K31" i="9"/>
  <c r="O22" i="9" s="1"/>
  <c r="Q22" i="9" s="1"/>
  <c r="L39" i="9"/>
  <c r="L27" i="9"/>
  <c r="L38" i="9"/>
  <c r="L26" i="9"/>
  <c r="L37" i="9"/>
  <c r="L25" i="9"/>
  <c r="L36" i="9"/>
  <c r="L24" i="9"/>
  <c r="L35" i="9"/>
  <c r="L23" i="9"/>
  <c r="F15" i="9"/>
  <c r="F14" i="9"/>
  <c r="F13" i="9"/>
  <c r="F12" i="9"/>
  <c r="F11" i="9"/>
  <c r="P20" i="9" l="1"/>
  <c r="Q20" i="9" s="1"/>
  <c r="K40" i="9"/>
  <c r="O24" i="9"/>
  <c r="P23" i="9"/>
  <c r="Q23" i="9" s="1"/>
  <c r="P21" i="9"/>
  <c r="C36" i="8"/>
  <c r="C35" i="8"/>
  <c r="C34" i="8"/>
  <c r="C33" i="8"/>
  <c r="C32" i="8"/>
  <c r="G7" i="9"/>
  <c r="C24" i="8" s="1"/>
  <c r="G8" i="9"/>
  <c r="C25" i="8" s="1"/>
  <c r="G9" i="9"/>
  <c r="C22" i="8" s="1"/>
  <c r="G10" i="9"/>
  <c r="C23" i="8" s="1"/>
  <c r="G11" i="9"/>
  <c r="C21" i="8" s="1"/>
  <c r="G12" i="9"/>
  <c r="C20" i="8" s="1"/>
  <c r="G13" i="9"/>
  <c r="C18" i="8" s="1"/>
  <c r="G14" i="9"/>
  <c r="C19" i="8" s="1"/>
  <c r="G6" i="9"/>
  <c r="C26" i="8" s="1"/>
  <c r="J15" i="9"/>
  <c r="N15" i="9"/>
  <c r="R15" i="9"/>
  <c r="V15" i="9"/>
  <c r="Z15" i="9"/>
  <c r="C15" i="9"/>
  <c r="AF7" i="9"/>
  <c r="AF8" i="9"/>
  <c r="AF9" i="9"/>
  <c r="AF10" i="9"/>
  <c r="AF11" i="9"/>
  <c r="AF12" i="9"/>
  <c r="AF13" i="9"/>
  <c r="AF14" i="9"/>
  <c r="AF6" i="9"/>
  <c r="C37" i="8" s="1"/>
  <c r="AE7" i="9"/>
  <c r="AE8" i="9"/>
  <c r="AE9" i="9"/>
  <c r="AE10" i="9"/>
  <c r="AE11" i="9"/>
  <c r="AE12" i="9"/>
  <c r="AE13" i="9"/>
  <c r="AE14" i="9"/>
  <c r="AE6" i="9"/>
  <c r="D57" i="9"/>
  <c r="Y10" i="9" s="1"/>
  <c r="D54" i="9"/>
  <c r="M7" i="9" s="1"/>
  <c r="D55" i="9"/>
  <c r="Q6" i="9" s="1"/>
  <c r="D56" i="9"/>
  <c r="U6" i="9" s="1"/>
  <c r="D53" i="9"/>
  <c r="I9" i="9" s="1"/>
  <c r="P24" i="9" l="1"/>
  <c r="Q24" i="9" s="1"/>
  <c r="Q21" i="9"/>
  <c r="Q13" i="9"/>
  <c r="U14" i="9"/>
  <c r="U12" i="9"/>
  <c r="U10" i="9"/>
  <c r="U13" i="9"/>
  <c r="AE15" i="9"/>
  <c r="U9" i="9"/>
  <c r="U8" i="9"/>
  <c r="Y9" i="9"/>
  <c r="Y8" i="9"/>
  <c r="M14" i="9"/>
  <c r="Q14" i="9"/>
  <c r="I7" i="9"/>
  <c r="M6" i="9"/>
  <c r="Q12" i="9"/>
  <c r="U11" i="9"/>
  <c r="Y7" i="9"/>
  <c r="I8" i="9"/>
  <c r="G15" i="9"/>
  <c r="C8" i="8" s="1"/>
  <c r="Q10" i="9"/>
  <c r="I14" i="9"/>
  <c r="M11" i="9"/>
  <c r="Q8" i="9"/>
  <c r="U7" i="9"/>
  <c r="M10" i="9"/>
  <c r="Q7" i="9"/>
  <c r="Y14" i="9"/>
  <c r="I6" i="9"/>
  <c r="M9" i="9"/>
  <c r="Y13" i="9"/>
  <c r="M12" i="9"/>
  <c r="I13" i="9"/>
  <c r="Y12" i="9"/>
  <c r="M13" i="9"/>
  <c r="I12" i="9"/>
  <c r="I11" i="9"/>
  <c r="M8" i="9"/>
  <c r="I10" i="9"/>
  <c r="Y6" i="9"/>
  <c r="Y11" i="9"/>
  <c r="AF15" i="9"/>
  <c r="Q11" i="9"/>
  <c r="Q9" i="9"/>
  <c r="D50" i="9"/>
  <c r="D46" i="9"/>
  <c r="Q15" i="9" l="1"/>
  <c r="U15" i="9"/>
  <c r="I15" i="9"/>
  <c r="M15" i="9"/>
  <c r="Y15" i="9"/>
  <c r="AG14" i="9"/>
  <c r="AH14" i="9" s="1"/>
  <c r="AG13" i="9"/>
  <c r="AH13" i="9" s="1"/>
  <c r="AG12" i="9"/>
  <c r="AH12" i="9" s="1"/>
  <c r="AG11" i="9"/>
  <c r="AH11" i="9" s="1"/>
  <c r="AG10" i="9"/>
  <c r="AH10" i="9" s="1"/>
  <c r="AG9" i="9"/>
  <c r="AH9" i="9" s="1"/>
  <c r="AG8" i="9"/>
  <c r="AH8" i="9" s="1"/>
  <c r="AG7" i="9"/>
  <c r="AH7" i="9" s="1"/>
  <c r="AG6" i="9"/>
  <c r="AA14" i="9"/>
  <c r="AB14" i="9" s="1"/>
  <c r="AA13" i="9"/>
  <c r="AA12" i="9"/>
  <c r="AB12" i="9" s="1"/>
  <c r="AA11" i="9"/>
  <c r="AB11" i="9" s="1"/>
  <c r="AA10" i="9"/>
  <c r="AB10" i="9" s="1"/>
  <c r="AA9" i="9"/>
  <c r="AB9" i="9" s="1"/>
  <c r="AA8" i="9"/>
  <c r="AB8" i="9" s="1"/>
  <c r="AA7" i="9"/>
  <c r="AB7" i="9" s="1"/>
  <c r="AA6" i="9"/>
  <c r="AB6" i="9" s="1"/>
  <c r="W14" i="9"/>
  <c r="X14" i="9" s="1"/>
  <c r="W13" i="9"/>
  <c r="X13" i="9" s="1"/>
  <c r="W12" i="9"/>
  <c r="X12" i="9" s="1"/>
  <c r="W11" i="9"/>
  <c r="X11" i="9" s="1"/>
  <c r="W10" i="9"/>
  <c r="X10" i="9" s="1"/>
  <c r="W9" i="9"/>
  <c r="X9" i="9" s="1"/>
  <c r="W8" i="9"/>
  <c r="X8" i="9" s="1"/>
  <c r="W7" i="9"/>
  <c r="X7" i="9" s="1"/>
  <c r="W6" i="9"/>
  <c r="X6" i="9" s="1"/>
  <c r="S14" i="9"/>
  <c r="T14" i="9" s="1"/>
  <c r="S13" i="9"/>
  <c r="T13" i="9" s="1"/>
  <c r="S12" i="9"/>
  <c r="T12" i="9" s="1"/>
  <c r="S11" i="9"/>
  <c r="T11" i="9" s="1"/>
  <c r="S10" i="9"/>
  <c r="T10" i="9" s="1"/>
  <c r="S9" i="9"/>
  <c r="T9" i="9" s="1"/>
  <c r="S8" i="9"/>
  <c r="T8" i="9" s="1"/>
  <c r="S7" i="9"/>
  <c r="T7" i="9" s="1"/>
  <c r="S6" i="9"/>
  <c r="O14" i="9"/>
  <c r="P14" i="9" s="1"/>
  <c r="O13" i="9"/>
  <c r="P13" i="9" s="1"/>
  <c r="O12" i="9"/>
  <c r="P12" i="9" s="1"/>
  <c r="O11" i="9"/>
  <c r="P11" i="9" s="1"/>
  <c r="O10" i="9"/>
  <c r="P10" i="9" s="1"/>
  <c r="O9" i="9"/>
  <c r="P9" i="9" s="1"/>
  <c r="O8" i="9"/>
  <c r="P8" i="9" s="1"/>
  <c r="O7" i="9"/>
  <c r="P7" i="9" s="1"/>
  <c r="O6" i="9"/>
  <c r="K7" i="9"/>
  <c r="L7" i="9" s="1"/>
  <c r="K8" i="9"/>
  <c r="L8" i="9" s="1"/>
  <c r="K9" i="9"/>
  <c r="L9" i="9" s="1"/>
  <c r="K10" i="9"/>
  <c r="L10" i="9" s="1"/>
  <c r="K11" i="9"/>
  <c r="L11" i="9" s="1"/>
  <c r="K12" i="9"/>
  <c r="L12" i="9" s="1"/>
  <c r="K13" i="9"/>
  <c r="L13" i="9" s="1"/>
  <c r="K14" i="9"/>
  <c r="L14" i="9" s="1"/>
  <c r="K6" i="9"/>
  <c r="Q33" i="5"/>
  <c r="S33" i="5" s="1"/>
  <c r="Q34" i="5"/>
  <c r="S34" i="5" s="1"/>
  <c r="Q35" i="5"/>
  <c r="S35" i="5" s="1"/>
  <c r="Q36" i="5"/>
  <c r="S36" i="5" s="1"/>
  <c r="Q37" i="5"/>
  <c r="S37" i="5" s="1"/>
  <c r="Q38" i="5"/>
  <c r="Q39" i="5"/>
  <c r="Q40" i="5"/>
  <c r="Q32" i="5"/>
  <c r="P45" i="5"/>
  <c r="P41" i="5"/>
  <c r="R33" i="5"/>
  <c r="R32" i="5"/>
  <c r="E7" i="9"/>
  <c r="H7" i="9" s="1"/>
  <c r="E8" i="9"/>
  <c r="H8" i="9" s="1"/>
  <c r="E9" i="9"/>
  <c r="H9" i="9" s="1"/>
  <c r="E10" i="9"/>
  <c r="H10" i="9" s="1"/>
  <c r="E11" i="9"/>
  <c r="H11" i="9" s="1"/>
  <c r="E12" i="9"/>
  <c r="H12" i="9" s="1"/>
  <c r="E13" i="9"/>
  <c r="H13" i="9" s="1"/>
  <c r="E14" i="9"/>
  <c r="H14" i="9" s="1"/>
  <c r="E6" i="9"/>
  <c r="S32" i="5" l="1"/>
  <c r="E15" i="9"/>
  <c r="C7" i="8" s="1"/>
  <c r="O15" i="9"/>
  <c r="P6" i="9"/>
  <c r="P15" i="9" s="1"/>
  <c r="D33" i="8" s="1"/>
  <c r="X15" i="9"/>
  <c r="D35" i="8" s="1"/>
  <c r="S15" i="9"/>
  <c r="T6" i="9"/>
  <c r="T15" i="9" s="1"/>
  <c r="D34" i="8" s="1"/>
  <c r="L6" i="9"/>
  <c r="L15" i="9" s="1"/>
  <c r="D32" i="8" s="1"/>
  <c r="K15" i="9"/>
  <c r="AC13" i="9"/>
  <c r="AD13" i="9" s="1"/>
  <c r="AJ13" i="9" s="1"/>
  <c r="AB13" i="9"/>
  <c r="AB15" i="9" s="1"/>
  <c r="D36" i="8" s="1"/>
  <c r="H6" i="9"/>
  <c r="H15" i="9" s="1"/>
  <c r="Q41" i="5"/>
  <c r="AA15" i="9"/>
  <c r="AH6" i="9"/>
  <c r="AG15" i="9"/>
  <c r="W15" i="9"/>
  <c r="AC12" i="9"/>
  <c r="AD12" i="9" s="1"/>
  <c r="AJ12" i="9" s="1"/>
  <c r="AC14" i="9"/>
  <c r="AD14" i="9" s="1"/>
  <c r="AJ14" i="9" s="1"/>
  <c r="AC10" i="9"/>
  <c r="AD10" i="9" s="1"/>
  <c r="AJ10" i="9" s="1"/>
  <c r="AC8" i="9"/>
  <c r="AC7" i="9"/>
  <c r="AD7" i="9" s="1"/>
  <c r="AJ7" i="9" s="1"/>
  <c r="AC9" i="9"/>
  <c r="AC11" i="9"/>
  <c r="AC6" i="9"/>
  <c r="AI6" i="9" s="1"/>
  <c r="C6" i="8" l="1"/>
  <c r="D7" i="8" s="1"/>
  <c r="AI13" i="9"/>
  <c r="AI7" i="9"/>
  <c r="AI12" i="9"/>
  <c r="AI14" i="9"/>
  <c r="AI10" i="9"/>
  <c r="AI11" i="9"/>
  <c r="AD11" i="9"/>
  <c r="AJ11" i="9" s="1"/>
  <c r="AC15" i="9"/>
  <c r="AD6" i="9"/>
  <c r="AJ6" i="9" s="1"/>
  <c r="AI9" i="9"/>
  <c r="AD9" i="9"/>
  <c r="AJ9" i="9" s="1"/>
  <c r="AI8" i="9"/>
  <c r="AD8" i="9"/>
  <c r="AJ8" i="9" s="1"/>
  <c r="AH15" i="9"/>
  <c r="D37" i="8" s="1"/>
  <c r="D38" i="8" s="1"/>
  <c r="AI15" i="9" l="1"/>
  <c r="D8" i="8"/>
  <c r="AJ15" i="9"/>
  <c r="C11" i="8" s="1"/>
  <c r="AD15" i="9"/>
  <c r="C10" i="8" s="1"/>
  <c r="S29" i="5"/>
  <c r="E79" i="6"/>
  <c r="C83" i="6" s="1"/>
  <c r="E77" i="6"/>
  <c r="C84" i="6" l="1"/>
  <c r="C9" i="8"/>
  <c r="D10" i="8" s="1"/>
  <c r="D11" i="8" l="1"/>
  <c r="C12" i="8"/>
  <c r="D9" i="8"/>
  <c r="D12" i="8" l="1"/>
  <c r="T6" i="8"/>
  <c r="T5" i="8"/>
  <c r="T4" i="8"/>
  <c r="D6" i="8"/>
  <c r="F36" i="7"/>
  <c r="G36" i="7"/>
  <c r="H36" i="7"/>
  <c r="E36" i="7"/>
  <c r="D48" i="6"/>
  <c r="D47" i="6"/>
  <c r="D46" i="6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31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05" i="4"/>
  <c r="H28" i="6"/>
  <c r="G28" i="6"/>
  <c r="F28" i="6"/>
  <c r="E28" i="6"/>
  <c r="D28" i="6"/>
  <c r="I88" i="3" l="1"/>
  <c r="K47" i="2"/>
  <c r="K46" i="3"/>
  <c r="K41" i="3"/>
  <c r="K36" i="3"/>
  <c r="K31" i="3"/>
  <c r="K26" i="3"/>
  <c r="K21" i="3"/>
  <c r="K16" i="3"/>
  <c r="K11" i="3"/>
  <c r="K6" i="3"/>
  <c r="C51" i="3"/>
  <c r="E101" i="3" s="1"/>
  <c r="E100" i="3" s="1"/>
  <c r="D107" i="3" l="1"/>
  <c r="F107" i="3" s="1"/>
  <c r="D114" i="3"/>
  <c r="F114" i="3" s="1"/>
  <c r="D108" i="3"/>
  <c r="F108" i="3" s="1"/>
  <c r="D113" i="3"/>
  <c r="F113" i="3" s="1"/>
  <c r="D109" i="3"/>
  <c r="F109" i="3" s="1"/>
  <c r="D115" i="3"/>
  <c r="F115" i="3" s="1"/>
  <c r="D110" i="3"/>
  <c r="F110" i="3" s="1"/>
  <c r="D106" i="3"/>
  <c r="F106" i="3" s="1"/>
  <c r="D111" i="3"/>
  <c r="F111" i="3" s="1"/>
  <c r="D112" i="3"/>
  <c r="F112" i="3" s="1"/>
  <c r="G55" i="5"/>
  <c r="G54" i="5" s="1"/>
  <c r="F116" i="3" l="1"/>
  <c r="D18" i="6" s="1"/>
  <c r="G70" i="5"/>
  <c r="G71" i="5" s="1"/>
  <c r="E59" i="5"/>
  <c r="G59" i="5" s="1"/>
  <c r="T101" i="5"/>
  <c r="U101" i="5"/>
  <c r="V101" i="5"/>
  <c r="W101" i="5"/>
  <c r="X101" i="5"/>
  <c r="S101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77" i="5"/>
  <c r="I56" i="3"/>
  <c r="H6" i="3"/>
  <c r="P138" i="4"/>
  <c r="P140" i="4"/>
  <c r="P141" i="4"/>
  <c r="P142" i="4"/>
  <c r="P143" i="4"/>
  <c r="P146" i="4"/>
  <c r="P149" i="4"/>
  <c r="P131" i="4"/>
  <c r="O149" i="4"/>
  <c r="R149" i="4" s="1"/>
  <c r="N149" i="4"/>
  <c r="Q149" i="4" s="1"/>
  <c r="O148" i="4"/>
  <c r="R148" i="4" s="1"/>
  <c r="N148" i="4"/>
  <c r="Q148" i="4" s="1"/>
  <c r="P148" i="4"/>
  <c r="O147" i="4"/>
  <c r="R147" i="4" s="1"/>
  <c r="N147" i="4"/>
  <c r="Q147" i="4" s="1"/>
  <c r="P147" i="4"/>
  <c r="O146" i="4"/>
  <c r="R146" i="4" s="1"/>
  <c r="N146" i="4"/>
  <c r="Q146" i="4" s="1"/>
  <c r="O145" i="4"/>
  <c r="R145" i="4" s="1"/>
  <c r="N145" i="4"/>
  <c r="Q145" i="4" s="1"/>
  <c r="P145" i="4"/>
  <c r="O144" i="4"/>
  <c r="R144" i="4" s="1"/>
  <c r="N144" i="4"/>
  <c r="Q144" i="4" s="1"/>
  <c r="P144" i="4"/>
  <c r="O143" i="4"/>
  <c r="R143" i="4" s="1"/>
  <c r="N143" i="4"/>
  <c r="Q143" i="4" s="1"/>
  <c r="O142" i="4"/>
  <c r="R142" i="4" s="1"/>
  <c r="N142" i="4"/>
  <c r="Q142" i="4" s="1"/>
  <c r="O141" i="4"/>
  <c r="R141" i="4" s="1"/>
  <c r="N141" i="4"/>
  <c r="Q141" i="4" s="1"/>
  <c r="O140" i="4"/>
  <c r="R140" i="4" s="1"/>
  <c r="N140" i="4"/>
  <c r="Q140" i="4" s="1"/>
  <c r="O139" i="4"/>
  <c r="R139" i="4" s="1"/>
  <c r="N139" i="4"/>
  <c r="Q139" i="4" s="1"/>
  <c r="P139" i="4"/>
  <c r="O138" i="4"/>
  <c r="R138" i="4" s="1"/>
  <c r="N138" i="4"/>
  <c r="Q138" i="4" s="1"/>
  <c r="O137" i="4"/>
  <c r="R137" i="4" s="1"/>
  <c r="N137" i="4"/>
  <c r="Q137" i="4" s="1"/>
  <c r="P137" i="4"/>
  <c r="O136" i="4"/>
  <c r="R136" i="4" s="1"/>
  <c r="N136" i="4"/>
  <c r="Q136" i="4" s="1"/>
  <c r="P136" i="4"/>
  <c r="O135" i="4"/>
  <c r="R135" i="4" s="1"/>
  <c r="N135" i="4"/>
  <c r="Q135" i="4" s="1"/>
  <c r="P135" i="4"/>
  <c r="O134" i="4"/>
  <c r="R134" i="4" s="1"/>
  <c r="N134" i="4"/>
  <c r="Q134" i="4" s="1"/>
  <c r="P134" i="4"/>
  <c r="O133" i="4"/>
  <c r="R133" i="4" s="1"/>
  <c r="N133" i="4"/>
  <c r="Q133" i="4" s="1"/>
  <c r="P133" i="4"/>
  <c r="O132" i="4"/>
  <c r="R132" i="4" s="1"/>
  <c r="N132" i="4"/>
  <c r="Q132" i="4" s="1"/>
  <c r="P132" i="4"/>
  <c r="O131" i="4"/>
  <c r="R131" i="4" s="1"/>
  <c r="N131" i="4"/>
  <c r="Q131" i="4" s="1"/>
  <c r="Y101" i="5" l="1"/>
  <c r="T102" i="5" s="1"/>
  <c r="E66" i="5"/>
  <c r="G66" i="5" s="1"/>
  <c r="E58" i="5"/>
  <c r="G58" i="5" s="1"/>
  <c r="E65" i="5"/>
  <c r="G65" i="5" s="1"/>
  <c r="E64" i="5"/>
  <c r="G64" i="5" s="1"/>
  <c r="E63" i="5"/>
  <c r="G63" i="5" s="1"/>
  <c r="E67" i="5"/>
  <c r="G67" i="5" s="1"/>
  <c r="E62" i="5"/>
  <c r="G62" i="5" s="1"/>
  <c r="E61" i="5"/>
  <c r="G61" i="5" s="1"/>
  <c r="E60" i="5"/>
  <c r="G60" i="5" s="1"/>
  <c r="P150" i="4"/>
  <c r="E163" i="4" s="1"/>
  <c r="Q150" i="4"/>
  <c r="R150" i="4"/>
  <c r="J7" i="2"/>
  <c r="N7" i="2" s="1"/>
  <c r="J8" i="2"/>
  <c r="N8" i="2" s="1"/>
  <c r="J9" i="2"/>
  <c r="N9" i="2" s="1"/>
  <c r="J10" i="2"/>
  <c r="N10" i="2" s="1"/>
  <c r="J11" i="2"/>
  <c r="N11" i="2" s="1"/>
  <c r="J12" i="2"/>
  <c r="N12" i="2" s="1"/>
  <c r="J13" i="2"/>
  <c r="N13" i="2" s="1"/>
  <c r="J14" i="2"/>
  <c r="N14" i="2" s="1"/>
  <c r="J15" i="2"/>
  <c r="N15" i="2" s="1"/>
  <c r="J16" i="2"/>
  <c r="N16" i="2" s="1"/>
  <c r="J17" i="2"/>
  <c r="N17" i="2" s="1"/>
  <c r="J18" i="2"/>
  <c r="J19" i="2"/>
  <c r="J20" i="2"/>
  <c r="J21" i="2"/>
  <c r="N21" i="2" s="1"/>
  <c r="J22" i="2"/>
  <c r="N22" i="2" s="1"/>
  <c r="J23" i="2"/>
  <c r="N23" i="2" s="1"/>
  <c r="J24" i="2"/>
  <c r="N24" i="2" s="1"/>
  <c r="J25" i="2"/>
  <c r="N25" i="2" s="1"/>
  <c r="J26" i="2"/>
  <c r="J6" i="2"/>
  <c r="N6" i="2" s="1"/>
  <c r="N18" i="2"/>
  <c r="N19" i="2"/>
  <c r="N20" i="2"/>
  <c r="N26" i="2"/>
  <c r="X102" i="5" l="1"/>
  <c r="S102" i="5"/>
  <c r="U102" i="5"/>
  <c r="G68" i="5"/>
  <c r="D73" i="5" s="1"/>
  <c r="V102" i="5"/>
  <c r="W102" i="5"/>
  <c r="J59" i="3"/>
  <c r="J56" i="3"/>
  <c r="I72" i="3"/>
  <c r="I73" i="3"/>
  <c r="I74" i="3"/>
  <c r="I75" i="3"/>
  <c r="I71" i="3"/>
  <c r="J71" i="3" s="1"/>
  <c r="I67" i="3"/>
  <c r="J67" i="3" s="1"/>
  <c r="I68" i="3"/>
  <c r="J68" i="3" s="1"/>
  <c r="I69" i="3"/>
  <c r="J69" i="3" s="1"/>
  <c r="I70" i="3"/>
  <c r="J70" i="3" s="1"/>
  <c r="I66" i="3"/>
  <c r="J66" i="3" s="1"/>
  <c r="I62" i="3"/>
  <c r="J62" i="3" s="1"/>
  <c r="I63" i="3"/>
  <c r="J63" i="3" s="1"/>
  <c r="I64" i="3"/>
  <c r="J64" i="3" s="1"/>
  <c r="I65" i="3"/>
  <c r="J65" i="3" s="1"/>
  <c r="I61" i="3"/>
  <c r="J61" i="3" s="1"/>
  <c r="I57" i="3"/>
  <c r="J57" i="3" s="1"/>
  <c r="I58" i="3"/>
  <c r="J58" i="3" s="1"/>
  <c r="I59" i="3"/>
  <c r="I60" i="3"/>
  <c r="J60" i="3" s="1"/>
  <c r="Q14" i="2"/>
  <c r="O14" i="2"/>
  <c r="R14" i="2" s="1"/>
  <c r="P14" i="2"/>
  <c r="S14" i="2" s="1"/>
  <c r="I6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I35" i="3" s="1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I11" i="3" s="1"/>
  <c r="H10" i="3"/>
  <c r="H9" i="3"/>
  <c r="H8" i="3"/>
  <c r="I8" i="3" s="1"/>
  <c r="H7" i="3"/>
  <c r="F99" i="4"/>
  <c r="K99" i="4" s="1"/>
  <c r="F98" i="4"/>
  <c r="K98" i="4" s="1"/>
  <c r="F97" i="4"/>
  <c r="K97" i="4" s="1"/>
  <c r="F96" i="4"/>
  <c r="K96" i="4" s="1"/>
  <c r="F95" i="4"/>
  <c r="K95" i="4" s="1"/>
  <c r="F94" i="4"/>
  <c r="K94" i="4" s="1"/>
  <c r="F93" i="4"/>
  <c r="K93" i="4" s="1"/>
  <c r="F92" i="4"/>
  <c r="K92" i="4" s="1"/>
  <c r="F91" i="4"/>
  <c r="K91" i="4" s="1"/>
  <c r="F90" i="4"/>
  <c r="K90" i="4" s="1"/>
  <c r="F89" i="4"/>
  <c r="K89" i="4" s="1"/>
  <c r="F88" i="4"/>
  <c r="K88" i="4" s="1"/>
  <c r="F87" i="4"/>
  <c r="K87" i="4" s="1"/>
  <c r="F86" i="4"/>
  <c r="K86" i="4" s="1"/>
  <c r="F85" i="4"/>
  <c r="K85" i="4" s="1"/>
  <c r="F84" i="4"/>
  <c r="K84" i="4" s="1"/>
  <c r="F74" i="4"/>
  <c r="K74" i="4" s="1"/>
  <c r="F75" i="4"/>
  <c r="K75" i="4" s="1"/>
  <c r="Q75" i="4" s="1"/>
  <c r="T75" i="4" s="1"/>
  <c r="F76" i="4"/>
  <c r="K76" i="4" s="1"/>
  <c r="O76" i="4" s="1"/>
  <c r="R76" i="4" s="1"/>
  <c r="F73" i="4"/>
  <c r="K73" i="4" s="1"/>
  <c r="F70" i="4"/>
  <c r="K70" i="4" s="1"/>
  <c r="F71" i="4"/>
  <c r="K71" i="4" s="1"/>
  <c r="Q71" i="4" s="1"/>
  <c r="T71" i="4" s="1"/>
  <c r="F72" i="4"/>
  <c r="K72" i="4" s="1"/>
  <c r="F69" i="4"/>
  <c r="K69" i="4" s="1"/>
  <c r="F66" i="4"/>
  <c r="K66" i="4" s="1"/>
  <c r="F67" i="4"/>
  <c r="K67" i="4" s="1"/>
  <c r="F68" i="4"/>
  <c r="K68" i="4" s="1"/>
  <c r="F65" i="4"/>
  <c r="K65" i="4" s="1"/>
  <c r="F62" i="4"/>
  <c r="K62" i="4" s="1"/>
  <c r="F63" i="4"/>
  <c r="K63" i="4" s="1"/>
  <c r="F64" i="4"/>
  <c r="K64" i="4" s="1"/>
  <c r="F61" i="4"/>
  <c r="K61" i="4" s="1"/>
  <c r="F44" i="2"/>
  <c r="F45" i="2"/>
  <c r="F46" i="2"/>
  <c r="L46" i="2" s="1"/>
  <c r="F43" i="2"/>
  <c r="F40" i="2"/>
  <c r="F41" i="2"/>
  <c r="L41" i="2" s="1"/>
  <c r="F42" i="2"/>
  <c r="F39" i="2"/>
  <c r="F36" i="2"/>
  <c r="L36" i="2" s="1"/>
  <c r="F37" i="2"/>
  <c r="F38" i="2"/>
  <c r="F35" i="2"/>
  <c r="F32" i="2"/>
  <c r="F33" i="2"/>
  <c r="F34" i="2"/>
  <c r="K34" i="2" s="1"/>
  <c r="F31" i="2"/>
  <c r="L31" i="2" s="1"/>
  <c r="D74" i="5" l="1"/>
  <c r="L34" i="2"/>
  <c r="L42" i="2"/>
  <c r="K42" i="2"/>
  <c r="L38" i="2"/>
  <c r="K38" i="2"/>
  <c r="L37" i="2"/>
  <c r="R37" i="2" s="1"/>
  <c r="U37" i="2" s="1"/>
  <c r="K37" i="2"/>
  <c r="L40" i="2"/>
  <c r="R40" i="2" s="1"/>
  <c r="U40" i="2" s="1"/>
  <c r="K40" i="2"/>
  <c r="L43" i="2"/>
  <c r="K43" i="2"/>
  <c r="L39" i="2"/>
  <c r="P39" i="2" s="1"/>
  <c r="S39" i="2" s="1"/>
  <c r="K39" i="2"/>
  <c r="L35" i="2"/>
  <c r="R35" i="2" s="1"/>
  <c r="U35" i="2" s="1"/>
  <c r="K35" i="2"/>
  <c r="L33" i="2"/>
  <c r="K33" i="2"/>
  <c r="L45" i="2"/>
  <c r="K45" i="2"/>
  <c r="L32" i="2"/>
  <c r="R32" i="2" s="1"/>
  <c r="U32" i="2" s="1"/>
  <c r="K32" i="2"/>
  <c r="L44" i="2"/>
  <c r="P44" i="2" s="1"/>
  <c r="S44" i="2" s="1"/>
  <c r="K44" i="2"/>
  <c r="H29" i="6"/>
  <c r="D75" i="5"/>
  <c r="J75" i="3"/>
  <c r="J72" i="3"/>
  <c r="J73" i="3"/>
  <c r="J74" i="3"/>
  <c r="I49" i="3"/>
  <c r="I48" i="3"/>
  <c r="I47" i="3"/>
  <c r="I50" i="3"/>
  <c r="I46" i="3"/>
  <c r="I44" i="3"/>
  <c r="I43" i="3"/>
  <c r="I42" i="3"/>
  <c r="I41" i="3"/>
  <c r="I45" i="3"/>
  <c r="I39" i="3"/>
  <c r="I38" i="3"/>
  <c r="I37" i="3"/>
  <c r="I36" i="3"/>
  <c r="I40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19" i="3"/>
  <c r="I18" i="3"/>
  <c r="I20" i="3"/>
  <c r="I17" i="3"/>
  <c r="I16" i="3"/>
  <c r="I15" i="3"/>
  <c r="I14" i="3"/>
  <c r="I13" i="3"/>
  <c r="I12" i="3"/>
  <c r="I10" i="3"/>
  <c r="I9" i="3"/>
  <c r="K51" i="3"/>
  <c r="D16" i="6" s="1"/>
  <c r="H51" i="3"/>
  <c r="I7" i="3"/>
  <c r="R36" i="2"/>
  <c r="U36" i="2" s="1"/>
  <c r="Q36" i="2"/>
  <c r="T36" i="2" s="1"/>
  <c r="R43" i="2"/>
  <c r="U43" i="2" s="1"/>
  <c r="Q43" i="2"/>
  <c r="T43" i="2" s="1"/>
  <c r="Q39" i="2"/>
  <c r="T39" i="2" s="1"/>
  <c r="Q35" i="2"/>
  <c r="T35" i="2" s="1"/>
  <c r="P43" i="2"/>
  <c r="S43" i="2" s="1"/>
  <c r="R46" i="2"/>
  <c r="U46" i="2" s="1"/>
  <c r="R42" i="2"/>
  <c r="U42" i="2" s="1"/>
  <c r="R38" i="2"/>
  <c r="U38" i="2" s="1"/>
  <c r="R34" i="2"/>
  <c r="U34" i="2" s="1"/>
  <c r="P40" i="2"/>
  <c r="S40" i="2" s="1"/>
  <c r="Q46" i="2"/>
  <c r="T46" i="2" s="1"/>
  <c r="Q42" i="2"/>
  <c r="T42" i="2" s="1"/>
  <c r="Q38" i="2"/>
  <c r="T38" i="2" s="1"/>
  <c r="Q34" i="2"/>
  <c r="T34" i="2" s="1"/>
  <c r="P36" i="2"/>
  <c r="S36" i="2" s="1"/>
  <c r="P46" i="2"/>
  <c r="S46" i="2" s="1"/>
  <c r="P42" i="2"/>
  <c r="S42" i="2" s="1"/>
  <c r="P38" i="2"/>
  <c r="S38" i="2" s="1"/>
  <c r="P34" i="2"/>
  <c r="S34" i="2" s="1"/>
  <c r="R45" i="2"/>
  <c r="U45" i="2" s="1"/>
  <c r="R41" i="2"/>
  <c r="U41" i="2" s="1"/>
  <c r="R33" i="2"/>
  <c r="U33" i="2" s="1"/>
  <c r="Q45" i="2"/>
  <c r="T45" i="2" s="1"/>
  <c r="Q41" i="2"/>
  <c r="T41" i="2" s="1"/>
  <c r="Q33" i="2"/>
  <c r="T33" i="2" s="1"/>
  <c r="P45" i="2"/>
  <c r="S45" i="2" s="1"/>
  <c r="P41" i="2"/>
  <c r="S41" i="2" s="1"/>
  <c r="P33" i="2"/>
  <c r="S33" i="2" s="1"/>
  <c r="O123" i="4"/>
  <c r="R123" i="4" s="1"/>
  <c r="P113" i="4"/>
  <c r="O106" i="4"/>
  <c r="R106" i="4" s="1"/>
  <c r="O112" i="4"/>
  <c r="R112" i="4" s="1"/>
  <c r="O116" i="4"/>
  <c r="R116" i="4" s="1"/>
  <c r="O111" i="4"/>
  <c r="R111" i="4" s="1"/>
  <c r="O121" i="4"/>
  <c r="R121" i="4" s="1"/>
  <c r="O109" i="4"/>
  <c r="R109" i="4" s="1"/>
  <c r="O118" i="4"/>
  <c r="R118" i="4" s="1"/>
  <c r="O114" i="4"/>
  <c r="R114" i="4" s="1"/>
  <c r="P112" i="4"/>
  <c r="N107" i="4"/>
  <c r="Q107" i="4" s="1"/>
  <c r="N119" i="4"/>
  <c r="Q119" i="4" s="1"/>
  <c r="P109" i="4"/>
  <c r="P121" i="4"/>
  <c r="N109" i="4"/>
  <c r="Q109" i="4" s="1"/>
  <c r="N121" i="4"/>
  <c r="Q121" i="4" s="1"/>
  <c r="P111" i="4"/>
  <c r="P123" i="4"/>
  <c r="N123" i="4"/>
  <c r="Q123" i="4" s="1"/>
  <c r="N118" i="4"/>
  <c r="Q118" i="4" s="1"/>
  <c r="P120" i="4"/>
  <c r="Q93" i="4"/>
  <c r="T93" i="4" s="1"/>
  <c r="Q90" i="4"/>
  <c r="T90" i="4" s="1"/>
  <c r="Q87" i="4"/>
  <c r="T87" i="4" s="1"/>
  <c r="Q96" i="4"/>
  <c r="T96" i="4" s="1"/>
  <c r="Q99" i="4"/>
  <c r="T99" i="4" s="1"/>
  <c r="O75" i="4"/>
  <c r="R75" i="4" s="1"/>
  <c r="P75" i="4"/>
  <c r="S75" i="4" s="1"/>
  <c r="Q95" i="4"/>
  <c r="T95" i="4" s="1"/>
  <c r="P95" i="4"/>
  <c r="S95" i="4" s="1"/>
  <c r="O95" i="4"/>
  <c r="R95" i="4" s="1"/>
  <c r="P94" i="4"/>
  <c r="S94" i="4" s="1"/>
  <c r="O94" i="4"/>
  <c r="R94" i="4" s="1"/>
  <c r="Q94" i="4"/>
  <c r="T94" i="4" s="1"/>
  <c r="Q89" i="4"/>
  <c r="T89" i="4" s="1"/>
  <c r="P89" i="4"/>
  <c r="S89" i="4" s="1"/>
  <c r="O89" i="4"/>
  <c r="R89" i="4" s="1"/>
  <c r="Q98" i="4"/>
  <c r="T98" i="4" s="1"/>
  <c r="P98" i="4"/>
  <c r="S98" i="4" s="1"/>
  <c r="O98" i="4"/>
  <c r="R98" i="4" s="1"/>
  <c r="O84" i="4"/>
  <c r="R84" i="4" s="1"/>
  <c r="Q84" i="4"/>
  <c r="T84" i="4" s="1"/>
  <c r="P84" i="4"/>
  <c r="S84" i="4" s="1"/>
  <c r="P88" i="4"/>
  <c r="S88" i="4" s="1"/>
  <c r="O88" i="4"/>
  <c r="R88" i="4" s="1"/>
  <c r="Q88" i="4"/>
  <c r="T88" i="4" s="1"/>
  <c r="P85" i="4"/>
  <c r="S85" i="4" s="1"/>
  <c r="O85" i="4"/>
  <c r="R85" i="4" s="1"/>
  <c r="Q85" i="4"/>
  <c r="T85" i="4" s="1"/>
  <c r="Q92" i="4"/>
  <c r="T92" i="4" s="1"/>
  <c r="P92" i="4"/>
  <c r="S92" i="4" s="1"/>
  <c r="O92" i="4"/>
  <c r="R92" i="4" s="1"/>
  <c r="Q86" i="4"/>
  <c r="T86" i="4" s="1"/>
  <c r="P86" i="4"/>
  <c r="S86" i="4" s="1"/>
  <c r="O86" i="4"/>
  <c r="R86" i="4" s="1"/>
  <c r="P97" i="4"/>
  <c r="S97" i="4" s="1"/>
  <c r="O97" i="4"/>
  <c r="R97" i="4" s="1"/>
  <c r="Q97" i="4"/>
  <c r="T97" i="4" s="1"/>
  <c r="P91" i="4"/>
  <c r="S91" i="4" s="1"/>
  <c r="O91" i="4"/>
  <c r="R91" i="4" s="1"/>
  <c r="Q91" i="4"/>
  <c r="T91" i="4" s="1"/>
  <c r="O87" i="4"/>
  <c r="R87" i="4" s="1"/>
  <c r="O90" i="4"/>
  <c r="R90" i="4" s="1"/>
  <c r="O93" i="4"/>
  <c r="R93" i="4" s="1"/>
  <c r="O96" i="4"/>
  <c r="R96" i="4" s="1"/>
  <c r="O99" i="4"/>
  <c r="R99" i="4" s="1"/>
  <c r="P87" i="4"/>
  <c r="S87" i="4" s="1"/>
  <c r="P90" i="4"/>
  <c r="S90" i="4" s="1"/>
  <c r="P93" i="4"/>
  <c r="S93" i="4" s="1"/>
  <c r="P96" i="4"/>
  <c r="S96" i="4" s="1"/>
  <c r="P99" i="4"/>
  <c r="S99" i="4" s="1"/>
  <c r="Q68" i="4"/>
  <c r="T68" i="4" s="1"/>
  <c r="O64" i="4"/>
  <c r="R64" i="4" s="1"/>
  <c r="O74" i="4"/>
  <c r="R74" i="4" s="1"/>
  <c r="Q74" i="4"/>
  <c r="T74" i="4" s="1"/>
  <c r="P74" i="4"/>
  <c r="S74" i="4" s="1"/>
  <c r="Q65" i="4"/>
  <c r="T65" i="4" s="1"/>
  <c r="O62" i="4"/>
  <c r="R62" i="4" s="1"/>
  <c r="P62" i="4"/>
  <c r="S62" i="4" s="1"/>
  <c r="Q62" i="4"/>
  <c r="T62" i="4" s="1"/>
  <c r="P72" i="4"/>
  <c r="S72" i="4" s="1"/>
  <c r="O69" i="4"/>
  <c r="R69" i="4" s="1"/>
  <c r="O72" i="4"/>
  <c r="R72" i="4" s="1"/>
  <c r="P63" i="4"/>
  <c r="S63" i="4" s="1"/>
  <c r="P69" i="4"/>
  <c r="S69" i="4" s="1"/>
  <c r="P64" i="4"/>
  <c r="S64" i="4" s="1"/>
  <c r="P73" i="4"/>
  <c r="S73" i="4" s="1"/>
  <c r="Q67" i="4"/>
  <c r="T67" i="4" s="1"/>
  <c r="P67" i="4"/>
  <c r="S67" i="4" s="1"/>
  <c r="Q70" i="4"/>
  <c r="T70" i="4" s="1"/>
  <c r="Q73" i="4"/>
  <c r="T73" i="4" s="1"/>
  <c r="O63" i="4"/>
  <c r="R63" i="4" s="1"/>
  <c r="Q72" i="4"/>
  <c r="T72" i="4" s="1"/>
  <c r="P61" i="4"/>
  <c r="S61" i="4" s="1"/>
  <c r="O70" i="4"/>
  <c r="R70" i="4" s="1"/>
  <c r="P76" i="4"/>
  <c r="S76" i="4" s="1"/>
  <c r="Q63" i="4"/>
  <c r="T63" i="4" s="1"/>
  <c r="Q69" i="4"/>
  <c r="T69" i="4" s="1"/>
  <c r="O61" i="4"/>
  <c r="R61" i="4" s="1"/>
  <c r="O73" i="4"/>
  <c r="R73" i="4" s="1"/>
  <c r="Q61" i="4"/>
  <c r="T61" i="4" s="1"/>
  <c r="P70" i="4"/>
  <c r="S70" i="4" s="1"/>
  <c r="Q64" i="4"/>
  <c r="T64" i="4" s="1"/>
  <c r="O68" i="4"/>
  <c r="R68" i="4" s="1"/>
  <c r="O71" i="4"/>
  <c r="R71" i="4" s="1"/>
  <c r="Q76" i="4"/>
  <c r="T76" i="4" s="1"/>
  <c r="O66" i="4"/>
  <c r="R66" i="4" s="1"/>
  <c r="P66" i="4"/>
  <c r="S66" i="4" s="1"/>
  <c r="Q66" i="4"/>
  <c r="T66" i="4" s="1"/>
  <c r="O67" i="4"/>
  <c r="R67" i="4" s="1"/>
  <c r="O65" i="4"/>
  <c r="R65" i="4" s="1"/>
  <c r="P65" i="4"/>
  <c r="S65" i="4" s="1"/>
  <c r="P68" i="4"/>
  <c r="S68" i="4" s="1"/>
  <c r="P71" i="4"/>
  <c r="S71" i="4" s="1"/>
  <c r="Q31" i="2"/>
  <c r="T31" i="2" s="1"/>
  <c r="R31" i="2"/>
  <c r="U31" i="2" s="1"/>
  <c r="P31" i="2"/>
  <c r="O9" i="2"/>
  <c r="R9" i="2" s="1"/>
  <c r="O12" i="2"/>
  <c r="R12" i="2" s="1"/>
  <c r="B47" i="2"/>
  <c r="G3" i="4" s="1"/>
  <c r="Q37" i="2" l="1"/>
  <c r="T37" i="2" s="1"/>
  <c r="L57" i="2"/>
  <c r="R100" i="4"/>
  <c r="P37" i="2"/>
  <c r="S37" i="2" s="1"/>
  <c r="R44" i="2"/>
  <c r="U44" i="2" s="1"/>
  <c r="P35" i="2"/>
  <c r="S35" i="2" s="1"/>
  <c r="J76" i="3"/>
  <c r="Q32" i="2"/>
  <c r="T32" i="2" s="1"/>
  <c r="T47" i="2" s="1"/>
  <c r="R39" i="2"/>
  <c r="U39" i="2" s="1"/>
  <c r="P32" i="2"/>
  <c r="S32" i="2" s="1"/>
  <c r="L55" i="2" s="1"/>
  <c r="Q40" i="2"/>
  <c r="T40" i="2" s="1"/>
  <c r="Q44" i="2"/>
  <c r="T44" i="2" s="1"/>
  <c r="E38" i="4"/>
  <c r="M38" i="4" s="1"/>
  <c r="P38" i="4" s="1"/>
  <c r="E41" i="4"/>
  <c r="E24" i="4"/>
  <c r="E10" i="4"/>
  <c r="E11" i="4"/>
  <c r="E22" i="4"/>
  <c r="E46" i="4"/>
  <c r="L46" i="4" s="1"/>
  <c r="O46" i="4" s="1"/>
  <c r="E25" i="4"/>
  <c r="E47" i="4"/>
  <c r="M47" i="4" s="1"/>
  <c r="P47" i="4" s="1"/>
  <c r="E49" i="4"/>
  <c r="L49" i="4" s="1"/>
  <c r="O49" i="4" s="1"/>
  <c r="C155" i="4"/>
  <c r="E37" i="4"/>
  <c r="N37" i="4" s="1"/>
  <c r="Q37" i="4" s="1"/>
  <c r="E48" i="4"/>
  <c r="E21" i="4"/>
  <c r="M21" i="4" s="1"/>
  <c r="P21" i="4" s="1"/>
  <c r="E34" i="4"/>
  <c r="E35" i="4"/>
  <c r="M35" i="4" s="1"/>
  <c r="P35" i="4" s="1"/>
  <c r="E36" i="4"/>
  <c r="N36" i="4" s="1"/>
  <c r="Q36" i="4" s="1"/>
  <c r="E23" i="4"/>
  <c r="E12" i="4"/>
  <c r="M12" i="4" s="1"/>
  <c r="P12" i="4" s="1"/>
  <c r="E13" i="4"/>
  <c r="N13" i="4" s="1"/>
  <c r="Q13" i="4" s="1"/>
  <c r="E44" i="4"/>
  <c r="E40" i="4"/>
  <c r="L40" i="4" s="1"/>
  <c r="O40" i="4" s="1"/>
  <c r="E26" i="4"/>
  <c r="E15" i="4"/>
  <c r="E43" i="4"/>
  <c r="E14" i="4"/>
  <c r="E42" i="4"/>
  <c r="L42" i="4" s="1"/>
  <c r="O42" i="4" s="1"/>
  <c r="E52" i="4"/>
  <c r="E45" i="4"/>
  <c r="N45" i="4" s="1"/>
  <c r="Q45" i="4" s="1"/>
  <c r="E19" i="4"/>
  <c r="E50" i="4"/>
  <c r="N50" i="4" s="1"/>
  <c r="Q50" i="4" s="1"/>
  <c r="E39" i="4"/>
  <c r="M39" i="4" s="1"/>
  <c r="P39" i="4" s="1"/>
  <c r="E6" i="4"/>
  <c r="M6" i="4" s="1"/>
  <c r="P6" i="4" s="1"/>
  <c r="E8" i="4"/>
  <c r="E20" i="4"/>
  <c r="L20" i="4" s="1"/>
  <c r="O20" i="4" s="1"/>
  <c r="E17" i="4"/>
  <c r="N17" i="4" s="1"/>
  <c r="Q17" i="4" s="1"/>
  <c r="E51" i="4"/>
  <c r="E33" i="4"/>
  <c r="E7" i="4"/>
  <c r="E27" i="4"/>
  <c r="E16" i="4"/>
  <c r="L16" i="4" s="1"/>
  <c r="O16" i="4" s="1"/>
  <c r="E32" i="4"/>
  <c r="M32" i="4" s="1"/>
  <c r="P32" i="4" s="1"/>
  <c r="E53" i="4"/>
  <c r="E9" i="4"/>
  <c r="M9" i="4" s="1"/>
  <c r="P9" i="4" s="1"/>
  <c r="E18" i="4"/>
  <c r="L58" i="2"/>
  <c r="D17" i="6"/>
  <c r="G29" i="6"/>
  <c r="D15" i="6"/>
  <c r="H31" i="6"/>
  <c r="H36" i="6" s="1"/>
  <c r="D14" i="6"/>
  <c r="I51" i="3"/>
  <c r="D13" i="6" s="1"/>
  <c r="O25" i="2"/>
  <c r="R25" i="2" s="1"/>
  <c r="P21" i="2"/>
  <c r="S21" i="2" s="1"/>
  <c r="P8" i="2"/>
  <c r="S8" i="2" s="1"/>
  <c r="N39" i="4"/>
  <c r="Q39" i="4" s="1"/>
  <c r="L50" i="4"/>
  <c r="O50" i="4" s="1"/>
  <c r="L39" i="4"/>
  <c r="O39" i="4" s="1"/>
  <c r="P116" i="4"/>
  <c r="N26" i="4"/>
  <c r="Q26" i="4" s="1"/>
  <c r="M26" i="4"/>
  <c r="P26" i="4" s="1"/>
  <c r="N106" i="4"/>
  <c r="Q106" i="4" s="1"/>
  <c r="N114" i="4"/>
  <c r="Q114" i="4" s="1"/>
  <c r="P110" i="4"/>
  <c r="O110" i="4"/>
  <c r="R110" i="4" s="1"/>
  <c r="N110" i="4"/>
  <c r="Q110" i="4" s="1"/>
  <c r="O105" i="4"/>
  <c r="R105" i="4" s="1"/>
  <c r="N105" i="4"/>
  <c r="Q105" i="4" s="1"/>
  <c r="P105" i="4"/>
  <c r="O108" i="4"/>
  <c r="R108" i="4" s="1"/>
  <c r="N108" i="4"/>
  <c r="Q108" i="4" s="1"/>
  <c r="P108" i="4"/>
  <c r="P122" i="4"/>
  <c r="O122" i="4"/>
  <c r="R122" i="4" s="1"/>
  <c r="N122" i="4"/>
  <c r="Q122" i="4" s="1"/>
  <c r="L12" i="4"/>
  <c r="O12" i="4" s="1"/>
  <c r="P118" i="4"/>
  <c r="M49" i="4"/>
  <c r="P49" i="4" s="1"/>
  <c r="O119" i="4"/>
  <c r="R119" i="4" s="1"/>
  <c r="P119" i="4"/>
  <c r="N111" i="4"/>
  <c r="Q111" i="4" s="1"/>
  <c r="P114" i="4"/>
  <c r="N49" i="4"/>
  <c r="Q49" i="4" s="1"/>
  <c r="O120" i="4"/>
  <c r="R120" i="4" s="1"/>
  <c r="N120" i="4"/>
  <c r="Q120" i="4" s="1"/>
  <c r="M18" i="4"/>
  <c r="P18" i="4" s="1"/>
  <c r="L18" i="4"/>
  <c r="O18" i="4" s="1"/>
  <c r="P106" i="4"/>
  <c r="N21" i="4"/>
  <c r="Q21" i="4" s="1"/>
  <c r="N15" i="4"/>
  <c r="Q15" i="4" s="1"/>
  <c r="L15" i="4"/>
  <c r="O15" i="4" s="1"/>
  <c r="M15" i="4"/>
  <c r="P15" i="4" s="1"/>
  <c r="L25" i="4"/>
  <c r="O25" i="4" s="1"/>
  <c r="M25" i="4"/>
  <c r="P25" i="4" s="1"/>
  <c r="N25" i="4"/>
  <c r="Q25" i="4" s="1"/>
  <c r="N117" i="4"/>
  <c r="Q117" i="4" s="1"/>
  <c r="P117" i="4"/>
  <c r="O117" i="4"/>
  <c r="R117" i="4" s="1"/>
  <c r="N51" i="4"/>
  <c r="Q51" i="4" s="1"/>
  <c r="N112" i="4"/>
  <c r="Q112" i="4" s="1"/>
  <c r="M20" i="4"/>
  <c r="P20" i="4" s="1"/>
  <c r="N20" i="4"/>
  <c r="Q20" i="4" s="1"/>
  <c r="O107" i="4"/>
  <c r="R107" i="4" s="1"/>
  <c r="P107" i="4"/>
  <c r="N6" i="4"/>
  <c r="Q6" i="4" s="1"/>
  <c r="N44" i="4"/>
  <c r="Q44" i="4" s="1"/>
  <c r="N113" i="4"/>
  <c r="Q113" i="4" s="1"/>
  <c r="O113" i="4"/>
  <c r="R113" i="4" s="1"/>
  <c r="M46" i="4"/>
  <c r="P46" i="4" s="1"/>
  <c r="N46" i="4"/>
  <c r="Q46" i="4" s="1"/>
  <c r="N116" i="4"/>
  <c r="Q116" i="4" s="1"/>
  <c r="L8" i="4"/>
  <c r="O8" i="4" s="1"/>
  <c r="M8" i="4"/>
  <c r="P8" i="4" s="1"/>
  <c r="N8" i="4"/>
  <c r="Q8" i="4" s="1"/>
  <c r="P115" i="4"/>
  <c r="O115" i="4"/>
  <c r="R115" i="4" s="1"/>
  <c r="N115" i="4"/>
  <c r="Q115" i="4" s="1"/>
  <c r="D163" i="4"/>
  <c r="T77" i="4"/>
  <c r="R77" i="4"/>
  <c r="S77" i="4"/>
  <c r="P22" i="2"/>
  <c r="S22" i="2" s="1"/>
  <c r="Q22" i="2"/>
  <c r="Q10" i="2"/>
  <c r="Q9" i="2"/>
  <c r="Q6" i="2"/>
  <c r="Q8" i="2"/>
  <c r="Q16" i="2"/>
  <c r="O20" i="2"/>
  <c r="R20" i="2" s="1"/>
  <c r="O8" i="2"/>
  <c r="R8" i="2" s="1"/>
  <c r="P20" i="2"/>
  <c r="S20" i="2" s="1"/>
  <c r="O7" i="2"/>
  <c r="R7" i="2" s="1"/>
  <c r="O22" i="2"/>
  <c r="R22" i="2" s="1"/>
  <c r="P9" i="2"/>
  <c r="S9" i="2" s="1"/>
  <c r="O11" i="2"/>
  <c r="R11" i="2" s="1"/>
  <c r="P24" i="2"/>
  <c r="S24" i="2" s="1"/>
  <c r="O13" i="2"/>
  <c r="R13" i="2" s="1"/>
  <c r="P23" i="2"/>
  <c r="S23" i="2" s="1"/>
  <c r="P10" i="2"/>
  <c r="S10" i="2" s="1"/>
  <c r="P26" i="2"/>
  <c r="S26" i="2" s="1"/>
  <c r="O24" i="2"/>
  <c r="R24" i="2" s="1"/>
  <c r="O23" i="2"/>
  <c r="R23" i="2" s="1"/>
  <c r="P13" i="2"/>
  <c r="S13" i="2" s="1"/>
  <c r="Q15" i="2"/>
  <c r="Q26" i="2"/>
  <c r="O10" i="2"/>
  <c r="R10" i="2" s="1"/>
  <c r="Q23" i="2"/>
  <c r="Q13" i="2"/>
  <c r="Q24" i="2"/>
  <c r="Q7" i="2"/>
  <c r="P7" i="2"/>
  <c r="S7" i="2" s="1"/>
  <c r="O21" i="2"/>
  <c r="R21" i="2" s="1"/>
  <c r="Q21" i="2"/>
  <c r="Q20" i="2"/>
  <c r="P11" i="2"/>
  <c r="S11" i="2" s="1"/>
  <c r="Q11" i="2"/>
  <c r="S31" i="2"/>
  <c r="Q18" i="2"/>
  <c r="P17" i="2"/>
  <c r="S17" i="2" s="1"/>
  <c r="O16" i="2"/>
  <c r="R16" i="2" s="1"/>
  <c r="O15" i="2"/>
  <c r="R15" i="2" s="1"/>
  <c r="O19" i="2"/>
  <c r="R19" i="2" s="1"/>
  <c r="O26" i="2"/>
  <c r="R26" i="2" s="1"/>
  <c r="O17" i="2"/>
  <c r="R17" i="2" s="1"/>
  <c r="P15" i="2"/>
  <c r="S15" i="2" s="1"/>
  <c r="Q17" i="2"/>
  <c r="P18" i="2"/>
  <c r="S18" i="2" s="1"/>
  <c r="O18" i="2"/>
  <c r="R18" i="2" s="1"/>
  <c r="P16" i="2"/>
  <c r="S16" i="2" s="1"/>
  <c r="P6" i="2"/>
  <c r="S6" i="2" s="1"/>
  <c r="O6" i="2"/>
  <c r="R6" i="2" s="1"/>
  <c r="Q19" i="2"/>
  <c r="P25" i="2"/>
  <c r="S25" i="2" s="1"/>
  <c r="P19" i="2"/>
  <c r="S19" i="2" s="1"/>
  <c r="P12" i="2"/>
  <c r="S12" i="2" s="1"/>
  <c r="Q25" i="2"/>
  <c r="Q12" i="2"/>
  <c r="L56" i="2" l="1"/>
  <c r="N12" i="4"/>
  <c r="Q12" i="4" s="1"/>
  <c r="U47" i="2"/>
  <c r="M17" i="4"/>
  <c r="P17" i="4" s="1"/>
  <c r="L17" i="4"/>
  <c r="O17" i="4" s="1"/>
  <c r="S47" i="2"/>
  <c r="D8" i="6" s="1"/>
  <c r="M13" i="4"/>
  <c r="P13" i="4" s="1"/>
  <c r="L37" i="4"/>
  <c r="O37" i="4" s="1"/>
  <c r="N47" i="4"/>
  <c r="Q47" i="4" s="1"/>
  <c r="L47" i="4"/>
  <c r="O47" i="4" s="1"/>
  <c r="M37" i="4"/>
  <c r="P37" i="4" s="1"/>
  <c r="L13" i="4"/>
  <c r="O13" i="4" s="1"/>
  <c r="L38" i="4"/>
  <c r="O38" i="4" s="1"/>
  <c r="N38" i="4"/>
  <c r="Q38" i="4" s="1"/>
  <c r="L9" i="4"/>
  <c r="O9" i="4" s="1"/>
  <c r="M55" i="2"/>
  <c r="M50" i="4"/>
  <c r="P50" i="4" s="1"/>
  <c r="L14" i="4"/>
  <c r="O14" i="4" s="1"/>
  <c r="L21" i="4"/>
  <c r="O21" i="4" s="1"/>
  <c r="N7" i="4"/>
  <c r="Q7" i="4" s="1"/>
  <c r="L27" i="4"/>
  <c r="O27" i="4" s="1"/>
  <c r="N14" i="4"/>
  <c r="Q14" i="4" s="1"/>
  <c r="M23" i="4"/>
  <c r="P23" i="4" s="1"/>
  <c r="N9" i="4"/>
  <c r="Q9" i="4" s="1"/>
  <c r="M11" i="4"/>
  <c r="P11" i="4" s="1"/>
  <c r="L45" i="4"/>
  <c r="O45" i="4" s="1"/>
  <c r="L11" i="4"/>
  <c r="O11" i="4" s="1"/>
  <c r="N16" i="4"/>
  <c r="Q16" i="4" s="1"/>
  <c r="M16" i="4"/>
  <c r="P16" i="4" s="1"/>
  <c r="M22" i="4"/>
  <c r="P22" i="4" s="1"/>
  <c r="N11" i="4"/>
  <c r="Q11" i="4" s="1"/>
  <c r="N23" i="4"/>
  <c r="Q23" i="4" s="1"/>
  <c r="N27" i="4"/>
  <c r="Q27" i="4" s="1"/>
  <c r="N10" i="4"/>
  <c r="Q10" i="4" s="1"/>
  <c r="N33" i="4"/>
  <c r="Q33" i="4" s="1"/>
  <c r="M33" i="4"/>
  <c r="P33" i="4" s="1"/>
  <c r="L41" i="4"/>
  <c r="O41" i="4" s="1"/>
  <c r="M41" i="4"/>
  <c r="P41" i="4" s="1"/>
  <c r="N41" i="4"/>
  <c r="Q41" i="4" s="1"/>
  <c r="L32" i="4"/>
  <c r="O32" i="4" s="1"/>
  <c r="N32" i="4"/>
  <c r="Q32" i="4" s="1"/>
  <c r="M27" i="4"/>
  <c r="P27" i="4" s="1"/>
  <c r="M10" i="4"/>
  <c r="P10" i="4" s="1"/>
  <c r="L33" i="4"/>
  <c r="O33" i="4" s="1"/>
  <c r="L51" i="4"/>
  <c r="O51" i="4" s="1"/>
  <c r="M51" i="4"/>
  <c r="P51" i="4" s="1"/>
  <c r="M43" i="4"/>
  <c r="P43" i="4" s="1"/>
  <c r="L43" i="4"/>
  <c r="O43" i="4" s="1"/>
  <c r="N43" i="4"/>
  <c r="Q43" i="4" s="1"/>
  <c r="L48" i="4"/>
  <c r="O48" i="4" s="1"/>
  <c r="N48" i="4"/>
  <c r="Q48" i="4" s="1"/>
  <c r="M48" i="4"/>
  <c r="P48" i="4" s="1"/>
  <c r="L6" i="4"/>
  <c r="O6" i="4" s="1"/>
  <c r="M14" i="4"/>
  <c r="P14" i="4" s="1"/>
  <c r="M45" i="4"/>
  <c r="P45" i="4" s="1"/>
  <c r="L35" i="4"/>
  <c r="O35" i="4" s="1"/>
  <c r="N35" i="4"/>
  <c r="Q35" i="4" s="1"/>
  <c r="M36" i="4"/>
  <c r="P36" i="4" s="1"/>
  <c r="O155" i="4"/>
  <c r="R155" i="4" s="1"/>
  <c r="C29" i="5"/>
  <c r="N155" i="4"/>
  <c r="Q155" i="4" s="1"/>
  <c r="M155" i="4"/>
  <c r="P155" i="4" s="1"/>
  <c r="F162" i="4" s="1"/>
  <c r="F164" i="4" s="1"/>
  <c r="L52" i="4"/>
  <c r="O52" i="4" s="1"/>
  <c r="M52" i="4"/>
  <c r="P52" i="4" s="1"/>
  <c r="N52" i="4"/>
  <c r="Q52" i="4" s="1"/>
  <c r="L19" i="4"/>
  <c r="O19" i="4" s="1"/>
  <c r="N24" i="4"/>
  <c r="Q24" i="4" s="1"/>
  <c r="M40" i="4"/>
  <c r="P40" i="4" s="1"/>
  <c r="N40" i="4"/>
  <c r="Q40" i="4" s="1"/>
  <c r="D162" i="4"/>
  <c r="D164" i="4" s="1"/>
  <c r="M19" i="4"/>
  <c r="P19" i="4" s="1"/>
  <c r="M44" i="4"/>
  <c r="P44" i="4" s="1"/>
  <c r="L44" i="4"/>
  <c r="O44" i="4" s="1"/>
  <c r="L59" i="2"/>
  <c r="M56" i="2" s="1"/>
  <c r="L10" i="4"/>
  <c r="O10" i="4" s="1"/>
  <c r="M34" i="4"/>
  <c r="P34" i="4" s="1"/>
  <c r="N34" i="4"/>
  <c r="Q34" i="4" s="1"/>
  <c r="L34" i="4"/>
  <c r="O34" i="4" s="1"/>
  <c r="L7" i="4"/>
  <c r="O7" i="4" s="1"/>
  <c r="N19" i="4"/>
  <c r="Q19" i="4" s="1"/>
  <c r="L22" i="4"/>
  <c r="O22" i="4" s="1"/>
  <c r="L24" i="4"/>
  <c r="O24" i="4" s="1"/>
  <c r="N42" i="4"/>
  <c r="Q42" i="4" s="1"/>
  <c r="M42" i="4"/>
  <c r="P42" i="4" s="1"/>
  <c r="M24" i="4"/>
  <c r="P24" i="4" s="1"/>
  <c r="L23" i="4"/>
  <c r="O23" i="4" s="1"/>
  <c r="M7" i="4"/>
  <c r="P7" i="4" s="1"/>
  <c r="N18" i="4"/>
  <c r="Q18" i="4" s="1"/>
  <c r="L36" i="4"/>
  <c r="O36" i="4" s="1"/>
  <c r="N22" i="4"/>
  <c r="Q22" i="4" s="1"/>
  <c r="L26" i="4"/>
  <c r="O26" i="4" s="1"/>
  <c r="N53" i="4"/>
  <c r="Q53" i="4" s="1"/>
  <c r="L53" i="4"/>
  <c r="O53" i="4" s="1"/>
  <c r="M53" i="4"/>
  <c r="P53" i="4" s="1"/>
  <c r="G31" i="6"/>
  <c r="G36" i="6" s="1"/>
  <c r="F30" i="6"/>
  <c r="H35" i="6"/>
  <c r="F29" i="6"/>
  <c r="D12" i="6"/>
  <c r="D30" i="6"/>
  <c r="P124" i="4"/>
  <c r="Q124" i="4"/>
  <c r="R124" i="4"/>
  <c r="Q27" i="2"/>
  <c r="D7" i="6" s="1"/>
  <c r="R27" i="2"/>
  <c r="S27" i="2"/>
  <c r="M57" i="2" l="1"/>
  <c r="M58" i="2"/>
  <c r="O54" i="4"/>
  <c r="C163" i="4" s="1"/>
  <c r="G163" i="4" s="1"/>
  <c r="O28" i="4"/>
  <c r="C162" i="4" s="1"/>
  <c r="C164" i="4" s="1"/>
  <c r="Q54" i="4"/>
  <c r="Q28" i="4"/>
  <c r="P54" i="4"/>
  <c r="P28" i="4"/>
  <c r="G35" i="6"/>
  <c r="E162" i="4"/>
  <c r="D11" i="6"/>
  <c r="D6" i="6"/>
  <c r="D29" i="6"/>
  <c r="F31" i="6"/>
  <c r="F36" i="6" s="1"/>
  <c r="D10" i="6" l="1"/>
  <c r="D19" i="6" s="1"/>
  <c r="D41" i="6" s="1"/>
  <c r="D23" i="6"/>
  <c r="D24" i="6"/>
  <c r="E29" i="6"/>
  <c r="D9" i="6"/>
  <c r="D51" i="6" s="1"/>
  <c r="E164" i="4"/>
  <c r="G162" i="4"/>
  <c r="F35" i="6"/>
  <c r="D31" i="6"/>
  <c r="D36" i="6" s="1"/>
  <c r="E30" i="6" l="1"/>
  <c r="D25" i="6"/>
  <c r="D40" i="6"/>
  <c r="D45" i="6"/>
  <c r="E31" i="6"/>
  <c r="E36" i="6" s="1"/>
  <c r="G164" i="4"/>
  <c r="D35" i="6"/>
  <c r="E35" i="6" l="1"/>
  <c r="G57" i="6"/>
  <c r="G56" i="6"/>
  <c r="G55" i="6"/>
  <c r="D165" i="4"/>
  <c r="F165" i="4"/>
  <c r="G165" i="4"/>
  <c r="C165" i="4"/>
  <c r="E165" i="4"/>
</calcChain>
</file>

<file path=xl/sharedStrings.xml><?xml version="1.0" encoding="utf-8"?>
<sst xmlns="http://schemas.openxmlformats.org/spreadsheetml/2006/main" count="1436" uniqueCount="477">
  <si>
    <t>HUELLA DE CARBONO DEL SECTOR TURISMO - GESTIÓN 2019</t>
  </si>
  <si>
    <t>Tabla 1: fuentes de emisión</t>
  </si>
  <si>
    <t>Actividad</t>
  </si>
  <si>
    <t xml:space="preserve">Transporte </t>
  </si>
  <si>
    <t>Transporte aéreo de llegada</t>
  </si>
  <si>
    <t xml:space="preserve">Transporte terrestre llegada </t>
  </si>
  <si>
    <t>Transporte aéreo salida</t>
  </si>
  <si>
    <t xml:space="preserve">Transporte terrestre salida </t>
  </si>
  <si>
    <t xml:space="preserve">Mecanismo de cuantificación </t>
  </si>
  <si>
    <t>Estadía</t>
  </si>
  <si>
    <t xml:space="preserve">Alojamientos </t>
  </si>
  <si>
    <t>Casa de familiares y amigos</t>
  </si>
  <si>
    <t>Hotel</t>
  </si>
  <si>
    <t>Residencial/hostal</t>
  </si>
  <si>
    <t>Vivienda propia o alquilada</t>
  </si>
  <si>
    <t>Otros</t>
  </si>
  <si>
    <t xml:space="preserve">Residuos </t>
  </si>
  <si>
    <t xml:space="preserve">Fuentes de emisión </t>
  </si>
  <si>
    <t>Combustibles en aviones comerciales
Combustibles en vehículos</t>
  </si>
  <si>
    <t>Distancia recorrida en función al pais de origen y aeropuerto de llegada, se divide en internacional y local</t>
  </si>
  <si>
    <t>Distancia recorrida en función al lugar de origen, lugar de llegada y/o ruta turística</t>
  </si>
  <si>
    <t>Distancia recorrida en función al pais destino y aeropuerto de salida, se divide en internacional y local</t>
  </si>
  <si>
    <t>Distancia recorrida en función al lugar destino, lugar de salida y/o ruta turística</t>
  </si>
  <si>
    <t>En función a la cantidad de dias y la proporción de turistas que utilizan este tipo de alojamiento y su factor correspondiente</t>
  </si>
  <si>
    <t>Por tipo de turista</t>
  </si>
  <si>
    <t xml:space="preserve">País de origen </t>
  </si>
  <si>
    <t xml:space="preserve"> Argentina</t>
  </si>
  <si>
    <t xml:space="preserve"> Brasil</t>
  </si>
  <si>
    <t xml:space="preserve"> Colombia</t>
  </si>
  <si>
    <t xml:space="preserve"> Chile</t>
  </si>
  <si>
    <t xml:space="preserve"> Ecuador</t>
  </si>
  <si>
    <t xml:space="preserve"> Paraguay</t>
  </si>
  <si>
    <t xml:space="preserve"> Perú</t>
  </si>
  <si>
    <t xml:space="preserve"> Venezuela</t>
  </si>
  <si>
    <t>Continente</t>
  </si>
  <si>
    <t>Sudamérica</t>
  </si>
  <si>
    <t xml:space="preserve"> México</t>
  </si>
  <si>
    <t>Centroamérica</t>
  </si>
  <si>
    <t>Norteamérica</t>
  </si>
  <si>
    <t xml:space="preserve"> Estados Unidos</t>
  </si>
  <si>
    <t xml:space="preserve"> Canadá</t>
  </si>
  <si>
    <t xml:space="preserve"> Alemania</t>
  </si>
  <si>
    <t xml:space="preserve"> España</t>
  </si>
  <si>
    <t xml:space="preserve"> Francia</t>
  </si>
  <si>
    <t xml:space="preserve"> Italia</t>
  </si>
  <si>
    <t xml:space="preserve">Europa </t>
  </si>
  <si>
    <t>Asia</t>
  </si>
  <si>
    <t xml:space="preserve"> Japón</t>
  </si>
  <si>
    <t>Aeropuerto de salida</t>
  </si>
  <si>
    <t>Aeropuerto de llegada</t>
  </si>
  <si>
    <t>Km recorridos</t>
  </si>
  <si>
    <t xml:space="preserve">Factor de emisión </t>
  </si>
  <si>
    <t>CO2</t>
  </si>
  <si>
    <t>CH4</t>
  </si>
  <si>
    <t>N2O</t>
  </si>
  <si>
    <t>Santa Cruz</t>
  </si>
  <si>
    <t>La Paz</t>
  </si>
  <si>
    <t>Cochabamba</t>
  </si>
  <si>
    <t>Número de persona 2019</t>
  </si>
  <si>
    <t>Reino unido</t>
  </si>
  <si>
    <t>China</t>
  </si>
  <si>
    <t>Corea del sur</t>
  </si>
  <si>
    <t>Resto de paises</t>
  </si>
  <si>
    <t>Buenos aires</t>
  </si>
  <si>
    <t>VVI</t>
  </si>
  <si>
    <t>Sao Paulo</t>
  </si>
  <si>
    <t>Bogota</t>
  </si>
  <si>
    <t>Santiago</t>
  </si>
  <si>
    <t>Quito</t>
  </si>
  <si>
    <t>Asunción</t>
  </si>
  <si>
    <t>Lima</t>
  </si>
  <si>
    <t>Caracas</t>
  </si>
  <si>
    <t>Mexico</t>
  </si>
  <si>
    <t>LPB</t>
  </si>
  <si>
    <t>Miami</t>
  </si>
  <si>
    <t>Toronto</t>
  </si>
  <si>
    <t>Madrid</t>
  </si>
  <si>
    <t>Paris</t>
  </si>
  <si>
    <t>Londres</t>
  </si>
  <si>
    <t>Roma</t>
  </si>
  <si>
    <t>Tokyo</t>
  </si>
  <si>
    <t>Beijing</t>
  </si>
  <si>
    <t>Seoul</t>
  </si>
  <si>
    <t>menores a 463</t>
  </si>
  <si>
    <t>menores a 3700 y mayores a 463</t>
  </si>
  <si>
    <t>Mayores a 3700</t>
  </si>
  <si>
    <t>Emisiones en kg Co2e</t>
  </si>
  <si>
    <t>Emisiones en t Co2e</t>
  </si>
  <si>
    <t>Porcentaje por turismo</t>
  </si>
  <si>
    <t>Km recorridos turismo</t>
  </si>
  <si>
    <t>Viajes aereos internos</t>
  </si>
  <si>
    <t>Resto de Departamentos</t>
  </si>
  <si>
    <t>CBB</t>
  </si>
  <si>
    <t>HUELLA DE CARBONO DEL SECTOR TURISMO - GESTIÓN 2019 - TRANSPORTE AÉREO</t>
  </si>
  <si>
    <t xml:space="preserve">Fuente de información: INE 2019 </t>
  </si>
  <si>
    <t>HUELLA DE CARBONO DEL SECTOR TURISMO - GESTIÓN 2019 - TRANSPORTE TERRESTRE</t>
  </si>
  <si>
    <t>Copacabana</t>
  </si>
  <si>
    <t>Salar de Uyuni</t>
  </si>
  <si>
    <t>Isla del Sol</t>
  </si>
  <si>
    <t>Oruro</t>
  </si>
  <si>
    <t>Sucre</t>
  </si>
  <si>
    <t>Tiwanaku</t>
  </si>
  <si>
    <t>Samaipata</t>
  </si>
  <si>
    <t>Tarija</t>
  </si>
  <si>
    <t>Coroico</t>
  </si>
  <si>
    <t>Tupiza</t>
  </si>
  <si>
    <t>Villazon</t>
  </si>
  <si>
    <t>Misiones Jesuiticas</t>
  </si>
  <si>
    <t>Villamontes</t>
  </si>
  <si>
    <t>Sorata</t>
  </si>
  <si>
    <t>Lago Titicaca</t>
  </si>
  <si>
    <t>Camiri</t>
  </si>
  <si>
    <t>Villa Tunari</t>
  </si>
  <si>
    <t>Cotoca</t>
  </si>
  <si>
    <t>Montero</t>
  </si>
  <si>
    <t>Yungas</t>
  </si>
  <si>
    <t>Vallegrande</t>
  </si>
  <si>
    <t>Biocentre Guembe</t>
  </si>
  <si>
    <t>Isla de la Luna</t>
  </si>
  <si>
    <t>Rurrenabaque-Madidi</t>
  </si>
  <si>
    <t>Porcentaje</t>
  </si>
  <si>
    <t>Yacuiba</t>
  </si>
  <si>
    <t>Estadía media</t>
  </si>
  <si>
    <t>Lugar de partida</t>
  </si>
  <si>
    <t>Factor de emisión</t>
  </si>
  <si>
    <t>Cantidad de turistas al año</t>
  </si>
  <si>
    <t>Tipo de vehículo</t>
  </si>
  <si>
    <t xml:space="preserve">total turistas </t>
  </si>
  <si>
    <t>Residencia Visitantes</t>
  </si>
  <si>
    <t>Destino</t>
  </si>
  <si>
    <t>Cantidad de turistas</t>
  </si>
  <si>
    <t>Varios</t>
  </si>
  <si>
    <t>Lugar de salida</t>
  </si>
  <si>
    <t>https://www.distanciasentre.com/bo/distancia-entre-la-paz-y-cochabamba-bolivia/DistanciaHistoria/3249897.aspx</t>
  </si>
  <si>
    <t>2 estrellas</t>
  </si>
  <si>
    <t>3 estrellas</t>
  </si>
  <si>
    <t>4 estrellas</t>
  </si>
  <si>
    <t>5 estrellas</t>
  </si>
  <si>
    <t>Tipo de alojamiento INE</t>
  </si>
  <si>
    <t>Alojamiento</t>
  </si>
  <si>
    <t>Residencial</t>
  </si>
  <si>
    <t>Porcentaje por tipo de alojamiento</t>
  </si>
  <si>
    <t>otros</t>
  </si>
  <si>
    <t>Categoría factores</t>
  </si>
  <si>
    <t>Estadías promedio</t>
  </si>
  <si>
    <t>Lugar de estadía</t>
  </si>
  <si>
    <t>Promedio</t>
  </si>
  <si>
    <t>Emisiones en tCO2e</t>
  </si>
  <si>
    <t>HUELLA DE CARBONO DEL SECTOR TURISMO - GESTIÓN 2019 - ESTADÍAS</t>
  </si>
  <si>
    <t>Potosi</t>
  </si>
  <si>
    <t>Lugar destino</t>
  </si>
  <si>
    <t>Distancia recorrida en km</t>
  </si>
  <si>
    <t>Bus</t>
  </si>
  <si>
    <t>Transporte terrestre bus entre departamentos</t>
  </si>
  <si>
    <t>Transporte terrestre vehículo particular entre departamentos</t>
  </si>
  <si>
    <t>Transporte aéreo</t>
  </si>
  <si>
    <t>Transporte aéreo internacional</t>
  </si>
  <si>
    <t>Transporte aéreo interno</t>
  </si>
  <si>
    <t>Transporte terrestre</t>
  </si>
  <si>
    <t>Transporte terrestre internacional</t>
  </si>
  <si>
    <t>Desaguadero</t>
  </si>
  <si>
    <t>Kasani/Copacabana</t>
  </si>
  <si>
    <t>Bermejo</t>
  </si>
  <si>
    <t>Hito Cajones</t>
  </si>
  <si>
    <t>Pisiga</t>
  </si>
  <si>
    <t>Puerto Suarez</t>
  </si>
  <si>
    <t>Tambo Quemado</t>
  </si>
  <si>
    <t>Chalanas</t>
  </si>
  <si>
    <t>Avaroa</t>
  </si>
  <si>
    <t>Ibibobo</t>
  </si>
  <si>
    <t>Guayaramerin</t>
  </si>
  <si>
    <t>Cobija</t>
  </si>
  <si>
    <t>San Matias</t>
  </si>
  <si>
    <t>Puerto Acosta</t>
  </si>
  <si>
    <t>Puerto Carangas</t>
  </si>
  <si>
    <t>Charaña</t>
  </si>
  <si>
    <t>Uyuni</t>
  </si>
  <si>
    <t>Lugar de llegada</t>
  </si>
  <si>
    <t>Km recorridos turismo totales</t>
  </si>
  <si>
    <t>Cuba</t>
  </si>
  <si>
    <t>Lugar de entrada</t>
  </si>
  <si>
    <t>Trinidad</t>
  </si>
  <si>
    <t>Número de pernoctaciones</t>
  </si>
  <si>
    <t>Cantidad de pernoctaciones por tipo de alojamiento</t>
  </si>
  <si>
    <t>Km recorridos a La Paz</t>
  </si>
  <si>
    <t>Km recorridos a Santa Cruz</t>
  </si>
  <si>
    <t>Km recorridos a Cochabamba</t>
  </si>
  <si>
    <t>La Habana</t>
  </si>
  <si>
    <t>Número de personas 2019</t>
  </si>
  <si>
    <t>Frankfurt</t>
  </si>
  <si>
    <t>Particular</t>
  </si>
  <si>
    <t>factor en tCO2e/noche</t>
  </si>
  <si>
    <t>Numero de pernoctaciones visitantes extranjeros</t>
  </si>
  <si>
    <t>Número de pernoctaciones turismo interno</t>
  </si>
  <si>
    <t>Otros dptos</t>
  </si>
  <si>
    <t>Fuente INE: VISITANTES QUE REALIZARON VIAJES  POR TURISMO INTERNO  SEGÚN DEPARTAMENTO, 2019(p)</t>
  </si>
  <si>
    <t>Fuente INE: NÚMERO DE PERNOCTACIONES DE VIAJEROS EXTRANJEROS EN ESTABLECIMIENTOS DE HOSPEDAJE, SEGÚN CIUDAD CAPITAL, 2018 - 2019(p)</t>
  </si>
  <si>
    <t>Número de visitantes</t>
  </si>
  <si>
    <t>Cantidad de pernoctaciones</t>
  </si>
  <si>
    <t>Viajes aereos internacional</t>
  </si>
  <si>
    <t>Viajes terrestres interdepartamental en transporte público (bus)</t>
  </si>
  <si>
    <t>Viajes terrestres interdepartamental en transporte privado</t>
  </si>
  <si>
    <t>Transporte terrestre nacional</t>
  </si>
  <si>
    <t xml:space="preserve">Estadias </t>
  </si>
  <si>
    <t>Estadias turismo interno</t>
  </si>
  <si>
    <t>Estadias visitantes extranjeros</t>
  </si>
  <si>
    <t>Total</t>
  </si>
  <si>
    <t>Partida</t>
  </si>
  <si>
    <t>La Quiaca</t>
  </si>
  <si>
    <t>Yunguyo/puno</t>
  </si>
  <si>
    <t>Yunguyo/Puno</t>
  </si>
  <si>
    <t>San Ramon de la nueva oran</t>
  </si>
  <si>
    <t>Tartagal</t>
  </si>
  <si>
    <t>San Pedro de Atacama</t>
  </si>
  <si>
    <t>Colchane</t>
  </si>
  <si>
    <t>Corumba</t>
  </si>
  <si>
    <t>Arica?</t>
  </si>
  <si>
    <t>Aguas Blancas</t>
  </si>
  <si>
    <t>Puseto fronterizo/iquique</t>
  </si>
  <si>
    <t>Guajara Mirim</t>
  </si>
  <si>
    <t>Infante ribarola</t>
  </si>
  <si>
    <t>Brasileia</t>
  </si>
  <si>
    <t>La Curicha</t>
  </si>
  <si>
    <t>Juliaca/puesto fronterizo</t>
  </si>
  <si>
    <t>Tacna/puesto fronterizo</t>
  </si>
  <si>
    <t>Uyuni/Potosi</t>
  </si>
  <si>
    <t>Santa Cruz de la Sierra</t>
  </si>
  <si>
    <t>Transporte terrestre internacional transporte público</t>
  </si>
  <si>
    <t>Transporte terrestre internacional transporte privado</t>
  </si>
  <si>
    <t>Distancia recorrida desde frontera en km</t>
  </si>
  <si>
    <t>Iquique</t>
  </si>
  <si>
    <t>Riberalta</t>
  </si>
  <si>
    <t xml:space="preserve">Transporte diario </t>
  </si>
  <si>
    <t xml:space="preserve">Cantidad promedio de viajes al dia </t>
  </si>
  <si>
    <t>Distancia recorrida promedio en km</t>
  </si>
  <si>
    <t>Emisiones por alimentos en toneladas CO2e</t>
  </si>
  <si>
    <t>Factor defra viajes aéreos</t>
  </si>
  <si>
    <t>Factores NWTO transporte</t>
  </si>
  <si>
    <t>Calculos residuos</t>
  </si>
  <si>
    <t>factor de emision comida</t>
  </si>
  <si>
    <t>https://www.sciencedirect.com/science/article/pii/S2211464521000075</t>
  </si>
  <si>
    <t>Factor residuos</t>
  </si>
  <si>
    <t>DIAGNÓSTICO y ESTUDIO de PREFACTIBILIDAD para la OPTIMIZACIÓN de la GESTIÓN INTEGRAL de</t>
  </si>
  <si>
    <t>RESIDUOS ORGÁNICOS e INORGÁNICOS en el ÁREA URBANA del MUNICIPIO de LA PAZ - Diciembre 2020</t>
  </si>
  <si>
    <t xml:space="preserve">Orgánico </t>
  </si>
  <si>
    <t>Se asume la composición de residuos similar a la de los desechos generados en forma no domiciliaria en la ciudad de La Paz proveniente de:</t>
  </si>
  <si>
    <t>Papel</t>
  </si>
  <si>
    <t>Plástico</t>
  </si>
  <si>
    <t>Vidrio</t>
  </si>
  <si>
    <t>Textiles</t>
  </si>
  <si>
    <t>Metales</t>
  </si>
  <si>
    <t>Especiales</t>
  </si>
  <si>
    <t>Peligroso</t>
  </si>
  <si>
    <t>Tetrapack</t>
  </si>
  <si>
    <t>Tipo de residuo</t>
  </si>
  <si>
    <t>Cantidad total de residuos generados al año en ton</t>
  </si>
  <si>
    <t>Vivienda Propia o alquilada</t>
  </si>
  <si>
    <t>Total pernoctaciones al año</t>
  </si>
  <si>
    <t xml:space="preserve">Cantidad de residuos por tipo en toneladas </t>
  </si>
  <si>
    <t>Alimentación</t>
  </si>
  <si>
    <t>Turismo extranjero</t>
  </si>
  <si>
    <t>Residuos</t>
  </si>
  <si>
    <t>Porcentaje interno</t>
  </si>
  <si>
    <t>Porcentaje externo</t>
  </si>
  <si>
    <t>Factor de emisión por alimentación al día KgCO2e/día</t>
  </si>
  <si>
    <t>Emisiones interno residuos</t>
  </si>
  <si>
    <t>Emisiones externo residuos</t>
  </si>
  <si>
    <t>Número de personas</t>
  </si>
  <si>
    <t xml:space="preserve">Equivalente en captura de CO2 en arboles </t>
  </si>
  <si>
    <t xml:space="preserve">Turismo interno </t>
  </si>
  <si>
    <t>Transporte internacional</t>
  </si>
  <si>
    <t xml:space="preserve">Transporte interno </t>
  </si>
  <si>
    <t>Porcentajes</t>
  </si>
  <si>
    <t xml:space="preserve">Destino </t>
  </si>
  <si>
    <t>Transporte público</t>
  </si>
  <si>
    <t xml:space="preserve">Transporte privado </t>
  </si>
  <si>
    <t>Rutas turisticas</t>
  </si>
  <si>
    <t>Entre departamentos</t>
  </si>
  <si>
    <t>Entra por puestos fronterizos</t>
  </si>
  <si>
    <t>Corto en el lugar destino</t>
  </si>
  <si>
    <t>Otros departamentos</t>
  </si>
  <si>
    <t>Potosí</t>
  </si>
  <si>
    <t>Departamento destino</t>
  </si>
  <si>
    <t>Turismo</t>
  </si>
  <si>
    <t>Huella de Carbono en porcentaje</t>
  </si>
  <si>
    <t>Mar Baltico</t>
  </si>
  <si>
    <t>Alimentos</t>
  </si>
  <si>
    <t>Mallorca</t>
  </si>
  <si>
    <t>Riviera Maya</t>
  </si>
  <si>
    <t>Bolivia</t>
  </si>
  <si>
    <t>Transporte</t>
  </si>
  <si>
    <t>Fuente: En base a datos propios y WWF: Iniciativa para un Turismo Bajo en Carbono en Quintana Roo http://www.ccpy.gob.mx/archivos/documentos-agendas/tmp_201507174531.pdf</t>
  </si>
  <si>
    <t>PPC en kg CO2e/turista</t>
  </si>
  <si>
    <t>País</t>
  </si>
  <si>
    <t>Fuente de emisión</t>
  </si>
  <si>
    <t>Consumo al día promedio en kg</t>
  </si>
  <si>
    <t>factor diario dieta promedio en kg utilizado prev</t>
  </si>
  <si>
    <t xml:space="preserve">Para hallar el nuevo factor, se han restado las emisiones por otros tipos de alimentos del factor y se ha remplazado por las emisiones diarias por carne </t>
  </si>
  <si>
    <t>Porcentaje de emisiones por carne en dieta promedio</t>
  </si>
  <si>
    <t>Nuevo factor de emisión con carne para Bolivia es de 28,9 kg Co2e al día</t>
  </si>
  <si>
    <t>Emisiones en tCO2e Alojamiento</t>
  </si>
  <si>
    <t>Hectareas</t>
  </si>
  <si>
    <t>arboles</t>
  </si>
  <si>
    <t xml:space="preserve">Toneladas de Co2e al año por consumo de carne en Bolivia </t>
  </si>
  <si>
    <t>Total sin residuos</t>
  </si>
  <si>
    <t>HUELLA HÍDRICA TURISMO - GESTIÓN 2019 - ESTADÍAS</t>
  </si>
  <si>
    <t>Litros de agua por día x turista</t>
  </si>
  <si>
    <t>Consumo de agua (HA) en m3</t>
  </si>
  <si>
    <t>Huella gris en m3</t>
  </si>
  <si>
    <t>Huella directa total (m3)</t>
  </si>
  <si>
    <t>Huella Indirecta</t>
  </si>
  <si>
    <t>Huella Directa</t>
  </si>
  <si>
    <t xml:space="preserve">Factor carne </t>
  </si>
  <si>
    <t>HH carne</t>
  </si>
  <si>
    <t>Factor lacteos</t>
  </si>
  <si>
    <t>HH cereales</t>
  </si>
  <si>
    <t>Factor cereales</t>
  </si>
  <si>
    <t>HH lacteos</t>
  </si>
  <si>
    <t>Huella indirecta total Alimentos</t>
  </si>
  <si>
    <t>Factor textiles</t>
  </si>
  <si>
    <t>Cantidad textiles/día turista</t>
  </si>
  <si>
    <t>Huella indirecta textiles</t>
  </si>
  <si>
    <t>Tipo de comida</t>
  </si>
  <si>
    <t>Carne</t>
  </si>
  <si>
    <t>Pollo, pescado, cerdo</t>
  </si>
  <si>
    <t>Lacteos</t>
  </si>
  <si>
    <t>Cereales/pan</t>
  </si>
  <si>
    <t>Vegetales</t>
  </si>
  <si>
    <t>Fruta</t>
  </si>
  <si>
    <t>Aceites</t>
  </si>
  <si>
    <t>Azucar, snacks</t>
  </si>
  <si>
    <t>Bebidas</t>
  </si>
  <si>
    <t>Cantidad de carne al día/turista en kg</t>
  </si>
  <si>
    <t>Factor vegetales</t>
  </si>
  <si>
    <t>HH vegetales</t>
  </si>
  <si>
    <t>Factor frutas</t>
  </si>
  <si>
    <t>HH frutas</t>
  </si>
  <si>
    <t>Cantidad de lacteos al día/turista en kg</t>
  </si>
  <si>
    <t>Cantidad de cereales al día/turista en kg</t>
  </si>
  <si>
    <t>Cantidad de vegetales al día/turista en kg</t>
  </si>
  <si>
    <t>Cantidad frutas día/turista en kg</t>
  </si>
  <si>
    <t xml:space="preserve">Gasto medio turista extranjero </t>
  </si>
  <si>
    <t xml:space="preserve">USD </t>
  </si>
  <si>
    <t>Porcentaje ropa vestidos y calzado</t>
  </si>
  <si>
    <t>Gasto en ropa, vestidos y calzado</t>
  </si>
  <si>
    <t>Se estima por lo menos una prenda textil por turista. Tipo chompa</t>
  </si>
  <si>
    <t xml:space="preserve">Peso por chompa </t>
  </si>
  <si>
    <t>kg</t>
  </si>
  <si>
    <t xml:space="preserve">Huella hídrica textiles </t>
  </si>
  <si>
    <t>https://www.scielo.org.mx/scielo.php?pid=S2448-66552020000100069&amp;script=sci_arttext#:~:text=En%20el%20caso%20concreto%20de,dependiendo%20del%20lugar%20de%20manufactura.</t>
  </si>
  <si>
    <t>10000 lts/kg</t>
  </si>
  <si>
    <t>Huella chompa en lts</t>
  </si>
  <si>
    <t>m3 por tonelada</t>
  </si>
  <si>
    <t>Alimento</t>
  </si>
  <si>
    <t>Wheat bread</t>
  </si>
  <si>
    <t>Milk</t>
  </si>
  <si>
    <t>Bovine meet</t>
  </si>
  <si>
    <t>Vegetables, fresh or chilled nes</t>
  </si>
  <si>
    <t>Frutas</t>
  </si>
  <si>
    <t>Frutas (promedio bananas, naranjas, manzanas y uvas)</t>
  </si>
  <si>
    <t>Banana</t>
  </si>
  <si>
    <t>Naranja</t>
  </si>
  <si>
    <t>Manzana</t>
  </si>
  <si>
    <t>Uva</t>
  </si>
  <si>
    <t>m3 por kg</t>
  </si>
  <si>
    <t>Huella total indirecta turismo</t>
  </si>
  <si>
    <t xml:space="preserve">Huella indirecta total por turista </t>
  </si>
  <si>
    <t>Huella indirecta textiles total</t>
  </si>
  <si>
    <t>Huella indirecta total alimentos</t>
  </si>
  <si>
    <t>Huella hídrica frutas   m3/ton</t>
  </si>
  <si>
    <t>HUELLA HÍDRICA SECTOR TURISMO - GESTIÓN 2019</t>
  </si>
  <si>
    <t>Huella directa</t>
  </si>
  <si>
    <t xml:space="preserve">Se refiere al consumo de agua y a la contaminación que esta relacionada al uso de agua en instalaciones </t>
  </si>
  <si>
    <t>Huella indirecta</t>
  </si>
  <si>
    <t>Se refiere al consumo y contaminación de agua asociado a la producción de bienes y servicios</t>
  </si>
  <si>
    <t>Tipo de huella</t>
  </si>
  <si>
    <t xml:space="preserve">Fuente de consumo/contaminación </t>
  </si>
  <si>
    <t>Método de cálculo</t>
  </si>
  <si>
    <t xml:space="preserve">Información a recolectar </t>
  </si>
  <si>
    <t>Huella directa (azul)</t>
  </si>
  <si>
    <t>Consumo directo de agua</t>
  </si>
  <si>
    <t xml:space="preserve">Multiplicando un factor de consumo de agua directa al día por turista </t>
  </si>
  <si>
    <t>Factor de uso de agua al día por turista</t>
  </si>
  <si>
    <t>Huella directa (gris)</t>
  </si>
  <si>
    <t xml:space="preserve">Contaminación por efluentes </t>
  </si>
  <si>
    <t>Calculado mediante un factor de generación de contaminación al día por persona</t>
  </si>
  <si>
    <t xml:space="preserve">Cantidad de efluente por turista y calidades </t>
  </si>
  <si>
    <t xml:space="preserve">Uso de productos y servicios </t>
  </si>
  <si>
    <t xml:space="preserve">Sumatoria de huellas de agua de cada producto consumido por turistas </t>
  </si>
  <si>
    <t xml:space="preserve">Cantidad de productos consumidos al día por turista, factores de huella de agua por producto </t>
  </si>
  <si>
    <t xml:space="preserve">Información recolectada </t>
  </si>
  <si>
    <t xml:space="preserve">En base a información del proyecto Huella de Ciudades </t>
  </si>
  <si>
    <t>Dieta, de la misma fuente para HC de alimentos</t>
  </si>
  <si>
    <t>Banco de datos de huellas hídricas wfn</t>
  </si>
  <si>
    <t>se estima un kg de textiles por turista extranjero</t>
  </si>
  <si>
    <t>Consumo directo (Huella azul)</t>
  </si>
  <si>
    <t>Contaminación (Huella gris)</t>
  </si>
  <si>
    <t xml:space="preserve">Textiles </t>
  </si>
  <si>
    <t>Tipo de Huella</t>
  </si>
  <si>
    <t>uso/consumo en m3</t>
  </si>
  <si>
    <t>Huella en m3</t>
  </si>
  <si>
    <t>HH carne total</t>
  </si>
  <si>
    <t>HH lacteos total</t>
  </si>
  <si>
    <t>HH cereales total</t>
  </si>
  <si>
    <t>HH vegetales total</t>
  </si>
  <si>
    <t>HH frutas total</t>
  </si>
  <si>
    <t>Fuente</t>
  </si>
  <si>
    <t>Cereales</t>
  </si>
  <si>
    <t>Huella Hídrica indirecta en m3</t>
  </si>
  <si>
    <t>Peso consumido por día/turista extranjero en kg</t>
  </si>
  <si>
    <t>Factor de generación de huella hídrica gris por turista * día (litros)</t>
  </si>
  <si>
    <t>Huella hídrica gris por ciudad</t>
  </si>
  <si>
    <t>Ciudad</t>
  </si>
  <si>
    <t>Huella grís en m3 al año</t>
  </si>
  <si>
    <t>Porcentaje huella</t>
  </si>
  <si>
    <t>S</t>
  </si>
  <si>
    <t>Huella total La Paz</t>
  </si>
  <si>
    <t>Porcentaje en relación al turismo</t>
  </si>
  <si>
    <t>Huella hídrica gris total</t>
  </si>
  <si>
    <t xml:space="preserve">Cantidad de habitantes </t>
  </si>
  <si>
    <t>Huella hídrica percápita</t>
  </si>
  <si>
    <t>Per cápita m3/hab</t>
  </si>
  <si>
    <t>Huella directa azul en m3</t>
  </si>
  <si>
    <t>Departamento</t>
  </si>
  <si>
    <t>Huella azul</t>
  </si>
  <si>
    <t>Huella Gris</t>
  </si>
  <si>
    <t xml:space="preserve">Estimación en base a per cápita de emisión </t>
  </si>
  <si>
    <t>Uso de ener</t>
  </si>
  <si>
    <t>Equivalentes de impacto</t>
  </si>
  <si>
    <t>Tipo de turismo</t>
  </si>
  <si>
    <t xml:space="preserve">Las mismas emisiones que que se generan por deforestación </t>
  </si>
  <si>
    <t>Equivalencia</t>
  </si>
  <si>
    <t>Cantidad</t>
  </si>
  <si>
    <t>Turismo interno</t>
  </si>
  <si>
    <t>Resultados por tipo de turismo totales</t>
  </si>
  <si>
    <t>Resultados por tipo de turismo totales por fuente de emisión</t>
  </si>
  <si>
    <t>Resultados por tipo de turismo totales en porcentaje</t>
  </si>
  <si>
    <t>Comparación con indicadores percápita</t>
  </si>
  <si>
    <t>Indicadores Percápita por fuente de emisión</t>
  </si>
  <si>
    <t>Gráfico: Huella de carbono del sector turismo en porcentaje</t>
  </si>
  <si>
    <t>Gráfico: Huella de carbono del sector turismo por fuente de emisión y tipo</t>
  </si>
  <si>
    <t>Gráfico: Huella de carbono del sector turismo por tipo en porcentaje</t>
  </si>
  <si>
    <t>Gráfico: Comparación huella de carbono del sector turismo por fuente de emisión</t>
  </si>
  <si>
    <t>Resultados por fuente de emisión</t>
  </si>
  <si>
    <t>Resultados por fuente de consumo</t>
  </si>
  <si>
    <t>Gráfico: Huella hídrica por tipo de huella</t>
  </si>
  <si>
    <t xml:space="preserve">Gráfico: Huella Hídrica por fuente </t>
  </si>
  <si>
    <t>Grafico: Huella Hídrica gris por ciudad</t>
  </si>
  <si>
    <t>Gráfico: Huella indirecta por fuente en porcentaje</t>
  </si>
  <si>
    <t>Emisiones por pais de origen turismo extranjero</t>
  </si>
  <si>
    <t>Emisiones por pais de origen turismo interno</t>
  </si>
  <si>
    <t>total</t>
  </si>
  <si>
    <t xml:space="preserve">Transporte por tipo </t>
  </si>
  <si>
    <t>Gráfico: emisiones por transporte por tipo en ton CO2e</t>
  </si>
  <si>
    <t>Gráfico: Emisiones por pais de origen turismo interno en tCO2e</t>
  </si>
  <si>
    <t>Gráfico: Emisiones por pais de origen turismo extranjero en TCO2e</t>
  </si>
  <si>
    <t>Factores HH alimentos</t>
  </si>
  <si>
    <t>Fuente: Mekonnen, M.M. and Hoekstra, A.Y. (2010) The green, blue and grey water footprint of farm animals and animal products, para bolivia, fuente WFN</t>
  </si>
  <si>
    <t>Huella Hídrica por departamento y por tipo por estadía</t>
  </si>
  <si>
    <t>Gráfico: Huella Hídrica por departamento y por tipo por estadía</t>
  </si>
  <si>
    <t>HUELLA DE CARBONO DEL SECTOR TURISMO EN BOLIVIA</t>
  </si>
  <si>
    <t>Contenido de la herramienta</t>
  </si>
  <si>
    <r>
      <rPr>
        <b/>
        <sz val="16"/>
        <color theme="1"/>
        <rFont val="Calibri"/>
        <family val="2"/>
        <scheme val="minor"/>
      </rPr>
      <t>Resultados HC</t>
    </r>
    <r>
      <rPr>
        <sz val="16"/>
        <color theme="1"/>
        <rFont val="Calibri"/>
        <family val="2"/>
        <scheme val="minor"/>
      </rPr>
      <t>: Muestra los resultados de la Huella de Carbono</t>
    </r>
  </si>
  <si>
    <r>
      <rPr>
        <b/>
        <sz val="16"/>
        <color theme="1"/>
        <rFont val="Calibri"/>
        <family val="2"/>
        <scheme val="minor"/>
      </rPr>
      <t>Resultados HH</t>
    </r>
    <r>
      <rPr>
        <sz val="16"/>
        <color theme="1"/>
        <rFont val="Calibri"/>
        <family val="2"/>
        <scheme val="minor"/>
      </rPr>
      <t xml:space="preserve"> Muestra los resultados de la Huella Hídrica</t>
    </r>
  </si>
  <si>
    <r>
      <rPr>
        <b/>
        <sz val="16"/>
        <color theme="1"/>
        <rFont val="Calibri"/>
        <family val="2"/>
        <scheme val="minor"/>
      </rPr>
      <t>Transporte aéreo</t>
    </r>
    <r>
      <rPr>
        <sz val="16"/>
        <color theme="1"/>
        <rFont val="Calibri"/>
        <family val="2"/>
        <scheme val="minor"/>
      </rPr>
      <t>: Muestra el cálculo de la Huella de Carbono</t>
    </r>
  </si>
  <si>
    <r>
      <rPr>
        <b/>
        <sz val="16"/>
        <color theme="1"/>
        <rFont val="Calibri"/>
        <family val="2"/>
        <scheme val="minor"/>
      </rPr>
      <t>Transporte terrestre</t>
    </r>
    <r>
      <rPr>
        <sz val="16"/>
        <color theme="1"/>
        <rFont val="Calibri"/>
        <family val="2"/>
        <scheme val="minor"/>
      </rPr>
      <t>: Muestra el cálculo del transporte terrestre</t>
    </r>
  </si>
  <si>
    <r>
      <rPr>
        <b/>
        <sz val="16"/>
        <color theme="1"/>
        <rFont val="Calibri"/>
        <family val="2"/>
        <scheme val="minor"/>
      </rPr>
      <t>Estadía HC</t>
    </r>
    <r>
      <rPr>
        <sz val="16"/>
        <color theme="1"/>
        <rFont val="Calibri"/>
        <family val="2"/>
        <scheme val="minor"/>
      </rPr>
      <t>: Muestra los calculos para la Huella de Carbono por estadías</t>
    </r>
  </si>
  <si>
    <r>
      <rPr>
        <b/>
        <sz val="16"/>
        <color theme="1"/>
        <rFont val="Calibri"/>
        <family val="2"/>
        <scheme val="minor"/>
      </rPr>
      <t>Estadía HH</t>
    </r>
    <r>
      <rPr>
        <sz val="16"/>
        <color theme="1"/>
        <rFont val="Calibri"/>
        <family val="2"/>
        <scheme val="minor"/>
      </rPr>
      <t>: Muestra los cálculos para la Huella Hídrica por estadías</t>
    </r>
  </si>
  <si>
    <t>Gráfico: Huella Dirécta en m3</t>
  </si>
  <si>
    <t>Total pernoctaciones al año turismo extranjero</t>
  </si>
  <si>
    <t>Emisiones por disposición de residuos</t>
  </si>
  <si>
    <t>Porcentaje(*1)</t>
  </si>
  <si>
    <t>Factor de emisión *2</t>
  </si>
  <si>
    <t>*2 factores de emisión por tipo de residuos IPCC 2006</t>
  </si>
  <si>
    <t>*1 Caracterización promedio de porcentaje de generación de residuos en 6 ciudades de Bolivia del Proyecto Huella de Ciudades y Servicios Ambientales</t>
  </si>
  <si>
    <t xml:space="preserve">*se asume una tasa de generación de 1,1 kg de rseiduos por dia </t>
  </si>
  <si>
    <t>La presente herramienta contiene toda la información recolectada, los factores de emisión empleados y calculados para la estimación de la Huella de Carbono del sector Turismo en Bolivia. Se utiliza información de referencia correspondiente al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</si>
</sst>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#,##0."/>
    <numFmt numFmtId="166" formatCode="_-* #,##0_-;\-* #,##0_-;_-* &quot;-&quot;??_-;_-@_-"/>
    <numFmt numFmtId="167" formatCode="0.0%"/>
    <numFmt numFmtId="168" formatCode="_-* #,##0.0_-;\-* #,##0.0_-;_-* &quot;-&quot;??_-;_-@_-"/>
    <numFmt numFmtId="169" formatCode="0.0"/>
    <numFmt numFmtId="170" formatCode="??0.0?????"/>
    <numFmt numFmtId="171" formatCode="_-* #,##0.0_-;\-* #,##0.0_-;_-* &quot;-&quot;?_-;_-@_-"/>
    <numFmt numFmtId="172" formatCode="_-* #,##0_-;\-* #,##0_-;_-* &quot;-&quot;?_-;_-@_-"/>
    <numFmt numFmtId="173" formatCode="_-* #,##0.0000_-;\-* #,##0.0000_-;_-* &quot;-&quot;??_-;_-@_-"/>
  </numFmts>
  <fonts count="29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"/>
      <color indexed="8"/>
      <name val="Courier"/>
      <family val="3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u/>
      <sz val="11"/>
      <color indexed="12"/>
      <name val="Calibri"/>
      <family val="2"/>
    </font>
    <font>
      <sz val="10"/>
      <color theme="9" tint="-0.499984740745262"/>
      <name val="Arial"/>
      <family val="2"/>
    </font>
    <font>
      <i/>
      <sz val="10"/>
      <color rgb="FFFF0000"/>
      <name val="Arial"/>
      <family val="2"/>
    </font>
    <font>
      <u/>
      <sz val="10"/>
      <color theme="11"/>
      <name val="Arial"/>
      <family val="2"/>
    </font>
    <font>
      <sz val="11"/>
      <color rgb="FF9C57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2060"/>
      <name val="Calibri"/>
      <family val="2"/>
      <scheme val="minor"/>
    </font>
    <font>
      <i/>
      <sz val="8"/>
      <color rgb="FF3E3E3E"/>
      <name val="Arial-ItalicMT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053D5F"/>
      </left>
      <right style="thin">
        <color rgb="FF053D5F"/>
      </right>
      <top style="thin">
        <color rgb="FF053D5F"/>
      </top>
      <bottom style="thin">
        <color rgb="FF053D5F"/>
      </bottom>
      <diagonal/>
    </border>
    <border>
      <left style="thin">
        <color rgb="FF053D5F"/>
      </left>
      <right/>
      <top style="thin">
        <color rgb="FF053D5F"/>
      </top>
      <bottom style="thin">
        <color rgb="FF053D5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53D5F"/>
      </right>
      <top style="thin">
        <color rgb="FF053D5F"/>
      </top>
      <bottom style="thin">
        <color rgb="FF053D5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53D5F"/>
      </left>
      <right style="thin">
        <color rgb="FF053D5F"/>
      </right>
      <top style="thin">
        <color rgb="FF053D5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165" fontId="3" fillId="0" borderId="0">
      <protection locked="0"/>
    </xf>
    <xf numFmtId="165" fontId="3" fillId="0" borderId="0">
      <protection locked="0"/>
    </xf>
    <xf numFmtId="165" fontId="3" fillId="0" borderId="0">
      <protection locked="0"/>
    </xf>
    <xf numFmtId="165" fontId="3" fillId="0" borderId="0">
      <protection locked="0"/>
    </xf>
    <xf numFmtId="165" fontId="3" fillId="0" borderId="0">
      <protection locked="0"/>
    </xf>
    <xf numFmtId="165" fontId="3" fillId="0" borderId="0">
      <protection locked="0"/>
    </xf>
    <xf numFmtId="165" fontId="3" fillId="0" borderId="0">
      <protection locked="0"/>
    </xf>
    <xf numFmtId="0" fontId="2" fillId="0" borderId="0"/>
    <xf numFmtId="0" fontId="2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2" fillId="0" borderId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7" applyNumberFormat="0" applyAlignment="0" applyProtection="0"/>
    <xf numFmtId="0" fontId="1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3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2" fillId="34" borderId="9" applyNumberFormat="0" applyAlignment="0" applyProtection="0"/>
    <xf numFmtId="0" fontId="15" fillId="35" borderId="10" applyNumberFormat="0" applyProtection="0">
      <alignment vertical="center"/>
    </xf>
    <xf numFmtId="16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" fillId="36" borderId="6" applyNumberFormat="0" applyBorder="0" applyAlignment="0" applyProtection="0"/>
    <xf numFmtId="0" fontId="2" fillId="37" borderId="0">
      <alignment vertical="center"/>
    </xf>
    <xf numFmtId="0" fontId="2" fillId="38" borderId="11" applyNumberFormat="0" applyAlignment="0" applyProtection="0"/>
    <xf numFmtId="0" fontId="18" fillId="7" borderId="0" applyNumberFormat="0" applyBorder="0" applyAlignment="0" applyProtection="0"/>
    <xf numFmtId="0" fontId="13" fillId="9" borderId="8" applyNumberFormat="0" applyFont="0" applyAlignment="0" applyProtection="0"/>
    <xf numFmtId="0" fontId="19" fillId="39" borderId="12" applyNumberFormat="0" applyAlignment="0" applyProtection="0"/>
    <xf numFmtId="0" fontId="2" fillId="40" borderId="13" applyNumberFormat="0" applyProtection="0">
      <alignment vertical="center"/>
    </xf>
    <xf numFmtId="0" fontId="19" fillId="41" borderId="0" applyNumberFormat="0" applyBorder="0" applyAlignment="0" applyProtection="0"/>
  </cellStyleXfs>
  <cellXfs count="15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>
      <alignment horizontal="center" vertical="center"/>
    </xf>
    <xf numFmtId="3" fontId="0" fillId="0" borderId="1" xfId="0" applyNumberFormat="1" applyBorder="1"/>
    <xf numFmtId="166" fontId="0" fillId="0" borderId="3" xfId="10" applyNumberFormat="1" applyFont="1" applyFill="1" applyBorder="1"/>
    <xf numFmtId="9" fontId="0" fillId="0" borderId="1" xfId="11" applyFont="1" applyBorder="1"/>
    <xf numFmtId="4" fontId="0" fillId="0" borderId="0" xfId="0" applyNumberFormat="1"/>
    <xf numFmtId="166" fontId="0" fillId="0" borderId="0" xfId="10" applyNumberFormat="1" applyFont="1" applyFill="1" applyBorder="1"/>
    <xf numFmtId="0" fontId="11" fillId="4" borderId="1" xfId="0" applyFont="1" applyFill="1" applyBorder="1"/>
    <xf numFmtId="167" fontId="0" fillId="0" borderId="1" xfId="11" applyNumberFormat="1" applyFont="1" applyBorder="1"/>
    <xf numFmtId="0" fontId="0" fillId="0" borderId="3" xfId="0" applyBorder="1"/>
    <xf numFmtId="0" fontId="11" fillId="4" borderId="1" xfId="0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49" fontId="6" fillId="0" borderId="1" xfId="13" applyNumberFormat="1" applyFont="1" applyBorder="1" applyAlignment="1">
      <alignment horizontal="left" indent="3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6" fontId="0" fillId="0" borderId="1" xfId="10" applyNumberFormat="1" applyFont="1" applyBorder="1"/>
    <xf numFmtId="166" fontId="0" fillId="0" borderId="5" xfId="0" applyNumberFormat="1" applyBorder="1"/>
    <xf numFmtId="166" fontId="0" fillId="0" borderId="1" xfId="0" applyNumberFormat="1" applyBorder="1"/>
    <xf numFmtId="169" fontId="0" fillId="0" borderId="1" xfId="0" applyNumberFormat="1" applyBorder="1"/>
    <xf numFmtId="1" fontId="0" fillId="0" borderId="1" xfId="0" applyNumberFormat="1" applyBorder="1"/>
    <xf numFmtId="10" fontId="0" fillId="0" borderId="1" xfId="11" applyNumberFormat="1" applyFont="1" applyBorder="1"/>
    <xf numFmtId="10" fontId="0" fillId="0" borderId="0" xfId="0" applyNumberFormat="1"/>
    <xf numFmtId="166" fontId="0" fillId="0" borderId="0" xfId="0" applyNumberFormat="1"/>
    <xf numFmtId="170" fontId="20" fillId="3" borderId="15" xfId="36" applyNumberFormat="1" applyFont="1" applyFill="1" applyBorder="1" applyAlignment="1">
      <alignment horizontal="center" vertical="center"/>
    </xf>
    <xf numFmtId="4" fontId="0" fillId="0" borderId="1" xfId="0" applyNumberFormat="1" applyBorder="1"/>
    <xf numFmtId="168" fontId="0" fillId="0" borderId="1" xfId="0" applyNumberFormat="1" applyBorder="1"/>
    <xf numFmtId="170" fontId="20" fillId="3" borderId="14" xfId="36" applyNumberFormat="1" applyFont="1" applyFill="1" applyBorder="1" applyAlignment="1">
      <alignment horizontal="center" vertical="center"/>
    </xf>
    <xf numFmtId="0" fontId="0" fillId="42" borderId="1" xfId="0" applyFill="1" applyBorder="1"/>
    <xf numFmtId="171" fontId="0" fillId="0" borderId="1" xfId="0" applyNumberFormat="1" applyBorder="1"/>
    <xf numFmtId="170" fontId="20" fillId="0" borderId="14" xfId="36" applyNumberFormat="1" applyFont="1" applyBorder="1" applyAlignment="1">
      <alignment horizontal="center" vertical="center"/>
    </xf>
    <xf numFmtId="170" fontId="20" fillId="0" borderId="17" xfId="36" applyNumberFormat="1" applyFont="1" applyBorder="1" applyAlignment="1">
      <alignment horizontal="center" wrapText="1"/>
    </xf>
    <xf numFmtId="172" fontId="0" fillId="0" borderId="1" xfId="0" applyNumberFormat="1" applyBorder="1"/>
    <xf numFmtId="171" fontId="0" fillId="0" borderId="0" xfId="0" applyNumberFormat="1"/>
    <xf numFmtId="0" fontId="21" fillId="0" borderId="0" xfId="0" applyFont="1"/>
    <xf numFmtId="166" fontId="0" fillId="0" borderId="1" xfId="0" applyNumberFormat="1" applyBorder="1" applyAlignment="1">
      <alignment wrapText="1"/>
    </xf>
    <xf numFmtId="9" fontId="0" fillId="0" borderId="0" xfId="11" applyFont="1"/>
    <xf numFmtId="3" fontId="0" fillId="0" borderId="1" xfId="0" applyNumberFormat="1" applyBorder="1" applyAlignment="1">
      <alignment wrapText="1"/>
    </xf>
    <xf numFmtId="171" fontId="11" fillId="0" borderId="0" xfId="0" applyNumberFormat="1" applyFont="1"/>
    <xf numFmtId="9" fontId="0" fillId="0" borderId="0" xfId="0" applyNumberFormat="1"/>
    <xf numFmtId="167" fontId="0" fillId="0" borderId="5" xfId="11" applyNumberFormat="1" applyFont="1" applyBorder="1"/>
    <xf numFmtId="0" fontId="14" fillId="0" borderId="0" xfId="48" applyAlignment="1" applyProtection="1"/>
    <xf numFmtId="0" fontId="11" fillId="44" borderId="1" xfId="0" applyFont="1" applyFill="1" applyBorder="1"/>
    <xf numFmtId="0" fontId="11" fillId="43" borderId="1" xfId="0" applyFont="1" applyFill="1" applyBorder="1"/>
    <xf numFmtId="166" fontId="11" fillId="43" borderId="1" xfId="0" applyNumberFormat="1" applyFont="1" applyFill="1" applyBorder="1"/>
    <xf numFmtId="0" fontId="22" fillId="0" borderId="1" xfId="0" applyFont="1" applyBorder="1"/>
    <xf numFmtId="166" fontId="22" fillId="0" borderId="1" xfId="0" applyNumberFormat="1" applyFont="1" applyBorder="1"/>
    <xf numFmtId="1" fontId="0" fillId="0" borderId="0" xfId="0" applyNumberFormat="1"/>
    <xf numFmtId="0" fontId="0" fillId="0" borderId="18" xfId="0" applyBorder="1"/>
    <xf numFmtId="0" fontId="2" fillId="4" borderId="18" xfId="0" applyFont="1" applyFill="1" applyBorder="1"/>
    <xf numFmtId="0" fontId="2" fillId="4" borderId="19" xfId="0" applyFont="1" applyFill="1" applyBorder="1"/>
    <xf numFmtId="49" fontId="0" fillId="0" borderId="1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6" fontId="0" fillId="0" borderId="23" xfId="0" applyNumberFormat="1" applyBorder="1"/>
    <xf numFmtId="172" fontId="0" fillId="0" borderId="5" xfId="0" applyNumberFormat="1" applyBorder="1"/>
    <xf numFmtId="172" fontId="11" fillId="0" borderId="23" xfId="0" applyNumberFormat="1" applyFont="1" applyBorder="1"/>
    <xf numFmtId="3" fontId="0" fillId="0" borderId="0" xfId="0" applyNumberFormat="1"/>
    <xf numFmtId="2" fontId="0" fillId="0" borderId="0" xfId="0" applyNumberFormat="1"/>
    <xf numFmtId="169" fontId="0" fillId="0" borderId="0" xfId="0" applyNumberFormat="1"/>
    <xf numFmtId="166" fontId="0" fillId="0" borderId="2" xfId="0" applyNumberFormat="1" applyBorder="1"/>
    <xf numFmtId="164" fontId="0" fillId="0" borderId="1" xfId="0" applyNumberFormat="1" applyBorder="1"/>
    <xf numFmtId="164" fontId="0" fillId="0" borderId="0" xfId="10" applyFont="1"/>
    <xf numFmtId="164" fontId="0" fillId="0" borderId="0" xfId="0" applyNumberFormat="1"/>
    <xf numFmtId="164" fontId="0" fillId="0" borderId="1" xfId="10" applyFont="1" applyBorder="1"/>
    <xf numFmtId="0" fontId="11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0" fontId="11" fillId="0" borderId="1" xfId="0" applyFont="1" applyBorder="1"/>
    <xf numFmtId="0" fontId="11" fillId="0" borderId="0" xfId="0" applyFont="1"/>
    <xf numFmtId="3" fontId="11" fillId="0" borderId="1" xfId="0" applyNumberFormat="1" applyFont="1" applyBorder="1"/>
    <xf numFmtId="0" fontId="11" fillId="44" borderId="1" xfId="0" applyFont="1" applyFill="1" applyBorder="1" applyAlignment="1">
      <alignment wrapText="1"/>
    </xf>
    <xf numFmtId="3" fontId="11" fillId="4" borderId="1" xfId="0" applyNumberFormat="1" applyFont="1" applyFill="1" applyBorder="1"/>
    <xf numFmtId="2" fontId="0" fillId="0" borderId="1" xfId="0" applyNumberFormat="1" applyBorder="1"/>
    <xf numFmtId="171" fontId="14" fillId="0" borderId="0" xfId="48" applyNumberFormat="1" applyAlignment="1" applyProtection="1"/>
    <xf numFmtId="0" fontId="0" fillId="0" borderId="2" xfId="0" applyBorder="1"/>
    <xf numFmtId="166" fontId="0" fillId="0" borderId="0" xfId="10" applyNumberFormat="1" applyFont="1"/>
    <xf numFmtId="173" fontId="0" fillId="0" borderId="0" xfId="0" applyNumberFormat="1"/>
    <xf numFmtId="0" fontId="23" fillId="0" borderId="0" xfId="0" applyFont="1"/>
    <xf numFmtId="0" fontId="11" fillId="43" borderId="1" xfId="0" applyFont="1" applyFill="1" applyBorder="1" applyAlignment="1">
      <alignment wrapText="1"/>
    </xf>
    <xf numFmtId="0" fontId="0" fillId="44" borderId="1" xfId="0" applyFill="1" applyBorder="1"/>
    <xf numFmtId="0" fontId="11" fillId="44" borderId="0" xfId="0" applyFont="1" applyFill="1"/>
    <xf numFmtId="0" fontId="0" fillId="4" borderId="1" xfId="0" applyFill="1" applyBorder="1"/>
    <xf numFmtId="0" fontId="11" fillId="43" borderId="1" xfId="0" applyFont="1" applyFill="1" applyBorder="1" applyAlignment="1">
      <alignment horizontal="left" wrapText="1"/>
    </xf>
    <xf numFmtId="9" fontId="11" fillId="4" borderId="1" xfId="11" applyFont="1" applyFill="1" applyBorder="1"/>
    <xf numFmtId="0" fontId="0" fillId="3" borderId="1" xfId="0" applyFill="1" applyBorder="1"/>
    <xf numFmtId="0" fontId="0" fillId="3" borderId="2" xfId="0" applyFill="1" applyBorder="1"/>
    <xf numFmtId="0" fontId="10" fillId="44" borderId="1" xfId="0" applyFont="1" applyFill="1" applyBorder="1" applyAlignment="1">
      <alignment wrapText="1"/>
    </xf>
    <xf numFmtId="0" fontId="11" fillId="45" borderId="1" xfId="0" applyFont="1" applyFill="1" applyBorder="1"/>
    <xf numFmtId="0" fontId="11" fillId="45" borderId="5" xfId="0" applyFont="1" applyFill="1" applyBorder="1"/>
    <xf numFmtId="0" fontId="11" fillId="45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11" fillId="45" borderId="1" xfId="0" applyFont="1" applyFill="1" applyBorder="1" applyAlignment="1">
      <alignment wrapText="1"/>
    </xf>
    <xf numFmtId="0" fontId="11" fillId="45" borderId="5" xfId="0" applyFont="1" applyFill="1" applyBorder="1" applyAlignment="1">
      <alignment wrapText="1"/>
    </xf>
    <xf numFmtId="167" fontId="0" fillId="0" borderId="2" xfId="11" applyNumberFormat="1" applyFont="1" applyBorder="1"/>
    <xf numFmtId="1" fontId="0" fillId="0" borderId="2" xfId="0" applyNumberFormat="1" applyBorder="1"/>
    <xf numFmtId="170" fontId="20" fillId="0" borderId="25" xfId="36" applyNumberFormat="1" applyFont="1" applyBorder="1" applyAlignment="1">
      <alignment horizontal="center" vertical="center"/>
    </xf>
    <xf numFmtId="166" fontId="0" fillId="0" borderId="2" xfId="10" applyNumberFormat="1" applyFont="1" applyBorder="1"/>
    <xf numFmtId="0" fontId="11" fillId="4" borderId="5" xfId="0" applyFont="1" applyFill="1" applyBorder="1" applyAlignment="1">
      <alignment wrapText="1"/>
    </xf>
    <xf numFmtId="0" fontId="11" fillId="3" borderId="0" xfId="0" applyFont="1" applyFill="1"/>
    <xf numFmtId="0" fontId="11" fillId="45" borderId="0" xfId="0" applyFont="1" applyFill="1" applyAlignment="1">
      <alignment wrapText="1"/>
    </xf>
    <xf numFmtId="0" fontId="24" fillId="0" borderId="1" xfId="0" applyFont="1" applyBorder="1"/>
    <xf numFmtId="0" fontId="25" fillId="0" borderId="1" xfId="0" applyFont="1" applyBorder="1"/>
    <xf numFmtId="169" fontId="0" fillId="3" borderId="1" xfId="0" applyNumberForma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3" fillId="0" borderId="29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/>
    <xf numFmtId="0" fontId="0" fillId="0" borderId="33" xfId="0" applyBorder="1"/>
    <xf numFmtId="0" fontId="28" fillId="0" borderId="26" xfId="0" applyFont="1" applyBorder="1"/>
    <xf numFmtId="0" fontId="23" fillId="0" borderId="30" xfId="0" applyFont="1" applyBorder="1"/>
    <xf numFmtId="0" fontId="26" fillId="43" borderId="29" xfId="0" applyFont="1" applyFill="1" applyBorder="1" applyAlignment="1">
      <alignment vertical="center"/>
    </xf>
    <xf numFmtId="0" fontId="0" fillId="43" borderId="0" xfId="0" applyFill="1"/>
    <xf numFmtId="0" fontId="0" fillId="43" borderId="30" xfId="0" applyFill="1" applyBorder="1"/>
    <xf numFmtId="0" fontId="27" fillId="0" borderId="29" xfId="0" applyFont="1" applyBorder="1"/>
    <xf numFmtId="0" fontId="0" fillId="0" borderId="0" xfId="0" applyAlignment="1">
      <alignment horizontal="center"/>
    </xf>
    <xf numFmtId="1" fontId="0" fillId="0" borderId="3" xfId="0" applyNumberFormat="1" applyBorder="1"/>
    <xf numFmtId="0" fontId="25" fillId="45" borderId="1" xfId="0" applyFont="1" applyFill="1" applyBorder="1"/>
    <xf numFmtId="0" fontId="0" fillId="0" borderId="3" xfId="0" applyFill="1" applyBorder="1"/>
    <xf numFmtId="1" fontId="11" fillId="0" borderId="1" xfId="0" applyNumberFormat="1" applyFont="1" applyBorder="1"/>
    <xf numFmtId="0" fontId="25" fillId="0" borderId="0" xfId="0" applyFont="1"/>
    <xf numFmtId="0" fontId="23" fillId="0" borderId="29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11" fillId="45" borderId="24" xfId="0" applyFont="1" applyFill="1" applyBorder="1" applyAlignment="1">
      <alignment horizontal="center"/>
    </xf>
    <xf numFmtId="0" fontId="11" fillId="45" borderId="20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11" fillId="4" borderId="16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0" fillId="0" borderId="0" xfId="0" applyAlignment="1">
      <alignment horizontal="left" wrapText="1"/>
    </xf>
    <xf numFmtId="0" fontId="11" fillId="45" borderId="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5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16" builtinId="27" customBuiltin="1"/>
    <cellStyle name="Calculation 2" xfId="44" xr:uid="{00000000-0005-0000-0000-000019000000}"/>
    <cellStyle name="Calculation 3" xfId="43" xr:uid="{00000000-0005-0000-0000-00001A000000}"/>
    <cellStyle name="Check Cell" xfId="17" builtinId="23" customBuiltin="1"/>
    <cellStyle name="Comma" xfId="10" builtinId="3"/>
    <cellStyle name="Comma 2" xfId="45" xr:uid="{00000000-0005-0000-0000-00001D000000}"/>
    <cellStyle name="Explanatory Text 2" xfId="46" xr:uid="{00000000-0005-0000-0000-00001E000000}"/>
    <cellStyle name="F2" xfId="1" xr:uid="{00000000-0005-0000-0000-00001F000000}"/>
    <cellStyle name="F3" xfId="2" xr:uid="{00000000-0005-0000-0000-000020000000}"/>
    <cellStyle name="F4" xfId="3" xr:uid="{00000000-0005-0000-0000-000021000000}"/>
    <cellStyle name="F5" xfId="4" xr:uid="{00000000-0005-0000-0000-000022000000}"/>
    <cellStyle name="F6" xfId="5" xr:uid="{00000000-0005-0000-0000-000023000000}"/>
    <cellStyle name="F7" xfId="6" xr:uid="{00000000-0005-0000-0000-000024000000}"/>
    <cellStyle name="F8" xfId="7" xr:uid="{00000000-0005-0000-0000-000025000000}"/>
    <cellStyle name="Followed Hyperlink" xfId="47" builtinId="9" customBuiltin="1"/>
    <cellStyle name="Good" xfId="15" builtinId="26" customBuiltin="1"/>
    <cellStyle name="Hyperlink" xfId="48" builtinId="8" customBuiltin="1"/>
    <cellStyle name="Input 2" xfId="49" xr:uid="{00000000-0005-0000-0000-000029000000}"/>
    <cellStyle name="Input data" xfId="50" xr:uid="{00000000-0005-0000-0000-00002A000000}"/>
    <cellStyle name="Linked Cell 2" xfId="51" xr:uid="{00000000-0005-0000-0000-00002B000000}"/>
    <cellStyle name="Neutral 2" xfId="52" xr:uid="{00000000-0005-0000-0000-00002C000000}"/>
    <cellStyle name="Normal" xfId="0" builtinId="0"/>
    <cellStyle name="Normal 10" xfId="13" xr:uid="{00000000-0005-0000-0000-00002E000000}"/>
    <cellStyle name="Normal 2" xfId="8" xr:uid="{00000000-0005-0000-0000-00002F000000}"/>
    <cellStyle name="Normal 2 2" xfId="12" xr:uid="{00000000-0005-0000-0000-000030000000}"/>
    <cellStyle name="Normal 3" xfId="36" xr:uid="{00000000-0005-0000-0000-000031000000}"/>
    <cellStyle name="Normal 3 2" xfId="9" xr:uid="{00000000-0005-0000-0000-000032000000}"/>
    <cellStyle name="Note 2" xfId="53" xr:uid="{00000000-0005-0000-0000-000033000000}"/>
    <cellStyle name="Output 2" xfId="54" xr:uid="{00000000-0005-0000-0000-000034000000}"/>
    <cellStyle name="Percent" xfId="11" builtinId="5"/>
    <cellStyle name="Selection" xfId="55" xr:uid="{00000000-0005-0000-0000-000036000000}"/>
    <cellStyle name="Title" xfId="14" builtinId="15" customBuiltin="1"/>
    <cellStyle name="Warning Text 2" xfId="56" xr:uid="{00000000-0005-0000-0000-000038000000}"/>
  </cellStyles>
  <dxfs count="21">
    <dxf>
      <numFmt numFmtId="172" formatCode="_-* #,##0_-;\-* #,##0_-;_-* &quot;-&quot;?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_-* #,##0_-;\-* #,##0_-;_-* &quot;-&quot;??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4" tint="0.399975585192419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80-4F54-8876-97274FDFA4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80-4F54-8876-97274FDFA4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80-4F54-8876-97274FDFA4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80-4F54-8876-97274FDFA4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280-4F54-8876-97274FDFA424}"/>
              </c:ext>
            </c:extLst>
          </c:dPt>
          <c:dLbls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E280-4F54-8876-97274FDFA4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('Resultados HC'!$C$6,'Resultados HC'!$C$9,'Resultados HC'!$C$12,'Resultados HC'!$C$15,'Resultados HC'!$C$17)</c:f>
              <c:strCache>
                <c:ptCount val="5"/>
                <c:pt idx="0">
                  <c:v>Transporte aéreo</c:v>
                </c:pt>
                <c:pt idx="1">
                  <c:v>Transporte terrestre</c:v>
                </c:pt>
                <c:pt idx="2">
                  <c:v>Estadias </c:v>
                </c:pt>
                <c:pt idx="3">
                  <c:v>Alimentación</c:v>
                </c:pt>
                <c:pt idx="4">
                  <c:v>Residuos</c:v>
                </c:pt>
              </c:strCache>
            </c:strRef>
          </c:cat>
          <c:val>
            <c:numRef>
              <c:f>('Resultados HC'!$D$6,'Resultados HC'!$D$9,'Resultados HC'!$D$12,'Resultados HC'!$D$15,'Resultados HC'!$D$17)</c:f>
              <c:numCache>
                <c:formatCode>_-* #,##0_-;\-* #,##0_-;_-* "-"??_-;_-@_-</c:formatCode>
                <c:ptCount val="5"/>
                <c:pt idx="0">
                  <c:v>212424.17794320753</c:v>
                </c:pt>
                <c:pt idx="1">
                  <c:v>72592.414258962017</c:v>
                </c:pt>
                <c:pt idx="2">
                  <c:v>27313.187790346001</c:v>
                </c:pt>
                <c:pt idx="3">
                  <c:v>24852.121500000001</c:v>
                </c:pt>
                <c:pt idx="4">
                  <c:v>825.67298816640016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793-4FF1-B8F8-32444055F0E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'Resultados HH'!$C$17</c:f>
              <c:strCache>
                <c:ptCount val="1"/>
                <c:pt idx="0">
                  <c:v>Huella grís en m3 al año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'Resultados HH'!$B$18:$B$26</c:f>
              <c:strCache>
                <c:ptCount val="9"/>
                <c:pt idx="0">
                  <c:v>Trinidad</c:v>
                </c:pt>
                <c:pt idx="1">
                  <c:v>Cobija</c:v>
                </c:pt>
                <c:pt idx="2">
                  <c:v>Oruro</c:v>
                </c:pt>
                <c:pt idx="3">
                  <c:v>Potosi</c:v>
                </c:pt>
                <c:pt idx="4">
                  <c:v>Sucre</c:v>
                </c:pt>
                <c:pt idx="5">
                  <c:v>Tarija</c:v>
                </c:pt>
                <c:pt idx="6">
                  <c:v>Cochabamba</c:v>
                </c:pt>
                <c:pt idx="7">
                  <c:v>Santa Cruz</c:v>
                </c:pt>
                <c:pt idx="8">
                  <c:v>La Paz</c:v>
                </c:pt>
              </c:strCache>
            </c:strRef>
          </c:cat>
          <c:val>
            <c:numRef>
              <c:f>'Resultados HH'!$C$18:$C$26</c:f>
              <c:numCache>
                <c:formatCode>General</c:formatCode>
                <c:ptCount val="9"/>
                <c:pt idx="0">
                  <c:v>3035.8574912280542</c:v>
                </c:pt>
                <c:pt idx="1">
                  <c:v>3299.0479419579365</c:v>
                </c:pt>
                <c:pt idx="2">
                  <c:v>9432.8640420019947</c:v>
                </c:pt>
                <c:pt idx="3">
                  <c:v>12369.951184304453</c:v>
                </c:pt>
                <c:pt idx="4">
                  <c:v>18746.380181585249</c:v>
                </c:pt>
                <c:pt idx="5">
                  <c:v>36369.708368436608</c:v>
                </c:pt>
                <c:pt idx="6">
                  <c:v>46496.169766838269</c:v>
                </c:pt>
                <c:pt idx="7">
                  <c:v>201424.5539398453</c:v>
                </c:pt>
                <c:pt idx="8">
                  <c:v>212154.89951578164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7-4111-BE40-C13D593A1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37132960"/>
        <c:axId val="937136288"/>
      </c:barChart>
      <c:catAx>
        <c:axId val="93713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136288"/>
        <c:crosses val="autoZero"/>
        <c:auto val="1"/>
        <c:lblAlgn val="ctr"/>
        <c:lblOffset val="100"/>
        <c:noMultiLvlLbl val="0"/>
      </c:catAx>
      <c:valAx>
        <c:axId val="937136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13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'Transporte aéreo'!$D$52</c:f>
              <c:strCache>
                <c:ptCount val="1"/>
                <c:pt idx="0">
                  <c:v>Emisiones en tCO2e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'Transporte aéreo'!$C$53:$C$73</c:f>
              <c:strCache>
                <c:ptCount val="21"/>
                <c:pt idx="0">
                  <c:v> Paraguay</c:v>
                </c:pt>
                <c:pt idx="1">
                  <c:v> Venezuela</c:v>
                </c:pt>
                <c:pt idx="2">
                  <c:v>Cuba</c:v>
                </c:pt>
                <c:pt idx="3">
                  <c:v> Ecuador</c:v>
                </c:pt>
                <c:pt idx="4">
                  <c:v> Perú</c:v>
                </c:pt>
                <c:pt idx="5">
                  <c:v> Chile</c:v>
                </c:pt>
                <c:pt idx="6">
                  <c:v> Canadá</c:v>
                </c:pt>
                <c:pt idx="7">
                  <c:v> Colombia</c:v>
                </c:pt>
                <c:pt idx="8">
                  <c:v> México</c:v>
                </c:pt>
                <c:pt idx="9">
                  <c:v>Reino unido</c:v>
                </c:pt>
                <c:pt idx="10">
                  <c:v> Argentina</c:v>
                </c:pt>
                <c:pt idx="11">
                  <c:v> Italia</c:v>
                </c:pt>
                <c:pt idx="12">
                  <c:v> Brasil</c:v>
                </c:pt>
                <c:pt idx="13">
                  <c:v> Francia</c:v>
                </c:pt>
                <c:pt idx="14">
                  <c:v>Resto de paises</c:v>
                </c:pt>
                <c:pt idx="15">
                  <c:v> Alemania</c:v>
                </c:pt>
                <c:pt idx="16">
                  <c:v>Corea del sur</c:v>
                </c:pt>
                <c:pt idx="17">
                  <c:v> Japón</c:v>
                </c:pt>
                <c:pt idx="18">
                  <c:v>China</c:v>
                </c:pt>
                <c:pt idx="19">
                  <c:v> Estados Unidos</c:v>
                </c:pt>
                <c:pt idx="20">
                  <c:v> España</c:v>
                </c:pt>
              </c:strCache>
            </c:strRef>
          </c:cat>
          <c:val>
            <c:numRef>
              <c:f>'Transporte aéreo'!$D$53:$D$73</c:f>
              <c:numCache>
                <c:formatCode>0</c:formatCode>
                <c:ptCount val="21"/>
                <c:pt idx="0">
                  <c:v>594.57881060399995</c:v>
                </c:pt>
                <c:pt idx="1">
                  <c:v>1851.6741295040001</c:v>
                </c:pt>
                <c:pt idx="2">
                  <c:v>1975.5792695900002</c:v>
                </c:pt>
                <c:pt idx="3">
                  <c:v>2927.9819044800006</c:v>
                </c:pt>
                <c:pt idx="4">
                  <c:v>4012.7741582040003</c:v>
                </c:pt>
                <c:pt idx="5">
                  <c:v>4277.5241500580005</c:v>
                </c:pt>
                <c:pt idx="6">
                  <c:v>5180.9738812800006</c:v>
                </c:pt>
                <c:pt idx="7">
                  <c:v>5227.4671376959996</c:v>
                </c:pt>
                <c:pt idx="8">
                  <c:v>5751.9230015520006</c:v>
                </c:pt>
                <c:pt idx="9">
                  <c:v>6312.6768822659997</c:v>
                </c:pt>
                <c:pt idx="10">
                  <c:v>7555.3442023500002</c:v>
                </c:pt>
                <c:pt idx="11">
                  <c:v>7684.0068018359998</c:v>
                </c:pt>
                <c:pt idx="12">
                  <c:v>9685.6709732159998</c:v>
                </c:pt>
                <c:pt idx="13">
                  <c:v>11562.905329375997</c:v>
                </c:pt>
                <c:pt idx="14">
                  <c:v>11734.036325859999</c:v>
                </c:pt>
                <c:pt idx="15">
                  <c:v>13403.061732719998</c:v>
                </c:pt>
                <c:pt idx="16">
                  <c:v>15345.069867149999</c:v>
                </c:pt>
                <c:pt idx="17">
                  <c:v>16027.619697599999</c:v>
                </c:pt>
                <c:pt idx="18">
                  <c:v>22568.912237432003</c:v>
                </c:pt>
                <c:pt idx="19">
                  <c:v>25056.726262415999</c:v>
                </c:pt>
                <c:pt idx="20">
                  <c:v>31597.089474750002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E-4BC9-82C8-415FFE51D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9246080"/>
        <c:axId val="609247328"/>
      </c:barChart>
      <c:catAx>
        <c:axId val="609246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247328"/>
        <c:crosses val="autoZero"/>
        <c:auto val="1"/>
        <c:lblAlgn val="ctr"/>
        <c:lblOffset val="100"/>
        <c:noMultiLvlLbl val="0"/>
      </c:catAx>
      <c:valAx>
        <c:axId val="60924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24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'Transporte aéreo'!$L$54</c:f>
              <c:strCache>
                <c:ptCount val="1"/>
                <c:pt idx="0">
                  <c:v>Emisiones en tCO2e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'Transporte aéreo'!$K$55:$K$58</c:f>
              <c:strCache>
                <c:ptCount val="4"/>
                <c:pt idx="0">
                  <c:v>La Paz</c:v>
                </c:pt>
                <c:pt idx="1">
                  <c:v>Cochabamba</c:v>
                </c:pt>
                <c:pt idx="2">
                  <c:v>Santa Cruz</c:v>
                </c:pt>
                <c:pt idx="3">
                  <c:v>Resto de Departamentos</c:v>
                </c:pt>
              </c:strCache>
            </c:strRef>
          </c:cat>
          <c:val>
            <c:numRef>
              <c:f>'Transporte aéreo'!$L$55:$L$58</c:f>
              <c:numCache>
                <c:formatCode>0</c:formatCode>
                <c:ptCount val="4"/>
                <c:pt idx="0">
                  <c:v>391.3617528485878</c:v>
                </c:pt>
                <c:pt idx="1">
                  <c:v>370.90861175659154</c:v>
                </c:pt>
                <c:pt idx="2">
                  <c:v>739.1400902722005</c:v>
                </c:pt>
                <c:pt idx="3">
                  <c:v>589.17125839014295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A-4FF7-8283-6E72D1DA0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3415072"/>
        <c:axId val="603416736"/>
      </c:barChart>
      <c:catAx>
        <c:axId val="603415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416736"/>
        <c:crosses val="autoZero"/>
        <c:auto val="1"/>
        <c:lblAlgn val="ctr"/>
        <c:lblOffset val="100"/>
        <c:noMultiLvlLbl val="0"/>
      </c:catAx>
      <c:valAx>
        <c:axId val="60341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415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'Transporte terrestre'!$B$162</c:f>
              <c:strCache>
                <c:ptCount val="1"/>
                <c:pt idx="0">
                  <c:v>Transporte público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'Transporte terrestre'!$C$161:$F$161</c:f>
              <c:strCache>
                <c:ptCount val="4"/>
                <c:pt idx="0">
                  <c:v>Rutas turisticas</c:v>
                </c:pt>
                <c:pt idx="1">
                  <c:v>Entre departamentos</c:v>
                </c:pt>
                <c:pt idx="2">
                  <c:v>Entra por puestos fronterizos</c:v>
                </c:pt>
                <c:pt idx="3">
                  <c:v>Corto en el lugar destino</c:v>
                </c:pt>
              </c:strCache>
            </c:strRef>
          </c:cat>
          <c:val>
            <c:numRef>
              <c:f>'Transporte terrestre'!$C$162:$F$162</c:f>
              <c:numCache>
                <c:formatCode>General</c:formatCode>
                <c:ptCount val="4"/>
                <c:pt idx="0" formatCode="_-* #,##0_-;\-* #,##0_-;_-* &quot;-&quot;??_-;_-@_-">
                  <c:v>11842.879484439511</c:v>
                </c:pt>
                <c:pt idx="1">
                  <c:v>21293.251897882245</c:v>
                </c:pt>
                <c:pt idx="2" formatCode="_-* #,##0_-;\-* #,##0_-;_-* &quot;-&quot;??_-;_-@_-">
                  <c:v>4872.6084567024</c:v>
                </c:pt>
                <c:pt idx="3" formatCode="_-* #,##0_-;\-* #,##0_-;_-* &quot;-&quot;??_-;_-@_-">
                  <c:v>5302.9716835044846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D-4F92-981E-1F12089C9B48}"/>
            </c:ext>
          </c:extLst>
        </c:ser>
        <c:ser>
          <c:idx val="1"/>
          <c:order val="1"/>
          <c:tx>
            <c:strRef>
              <c:f>'Transporte terrestre'!$B$163</c:f>
              <c:strCache>
                <c:ptCount val="1"/>
                <c:pt idx="0">
                  <c:v>Transporte privado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'Transporte terrestre'!$C$161:$F$161</c:f>
              <c:strCache>
                <c:ptCount val="4"/>
                <c:pt idx="0">
                  <c:v>Rutas turisticas</c:v>
                </c:pt>
                <c:pt idx="1">
                  <c:v>Entre departamentos</c:v>
                </c:pt>
                <c:pt idx="2">
                  <c:v>Entra por puestos fronterizos</c:v>
                </c:pt>
                <c:pt idx="3">
                  <c:v>Corto en el lugar destino</c:v>
                </c:pt>
              </c:strCache>
            </c:strRef>
          </c:cat>
          <c:val>
            <c:numRef>
              <c:f>'Transporte terrestre'!$C$163:$F$163</c:f>
              <c:numCache>
                <c:formatCode>General</c:formatCode>
                <c:ptCount val="4"/>
                <c:pt idx="0" formatCode="_-* #,##0_-;\-* #,##0_-;_-* &quot;-&quot;??_-;_-@_-">
                  <c:v>9172.3678047912272</c:v>
                </c:pt>
                <c:pt idx="1">
                  <c:v>16334.475964966563</c:v>
                </c:pt>
                <c:pt idx="2" formatCode="_-* #,##0_-;\-* #,##0_-;_-* &quot;-&quot;??_-;_-@_-">
                  <c:v>3773.8589666756002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D-4F92-981E-1F12089C9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050592"/>
        <c:axId val="376048512"/>
      </c:barChart>
      <c:catAx>
        <c:axId val="376050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048512"/>
        <c:crosses val="autoZero"/>
        <c:auto val="1"/>
        <c:lblAlgn val="ctr"/>
        <c:lblOffset val="100"/>
        <c:noMultiLvlLbl val="0"/>
      </c:catAx>
      <c:valAx>
        <c:axId val="37604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0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EstadíaHC!$C$83</c:f>
              <c:strCache>
                <c:ptCount val="1"/>
                <c:pt idx="0">
                  <c:v>Emisiones en tCO2e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EstadíaHC!$B$84:$B$92</c:f>
              <c:strCache>
                <c:ptCount val="9"/>
                <c:pt idx="0">
                  <c:v>Trinidad</c:v>
                </c:pt>
                <c:pt idx="1">
                  <c:v>Cobija</c:v>
                </c:pt>
                <c:pt idx="2">
                  <c:v>Oruro</c:v>
                </c:pt>
                <c:pt idx="3">
                  <c:v>Potosí</c:v>
                </c:pt>
                <c:pt idx="4">
                  <c:v>Tarija</c:v>
                </c:pt>
                <c:pt idx="5">
                  <c:v>Sucre</c:v>
                </c:pt>
                <c:pt idx="6">
                  <c:v>Cochabamba</c:v>
                </c:pt>
                <c:pt idx="7">
                  <c:v>Santa Cruz</c:v>
                </c:pt>
                <c:pt idx="8">
                  <c:v>La Paz</c:v>
                </c:pt>
              </c:strCache>
            </c:strRef>
          </c:cat>
          <c:val>
            <c:numRef>
              <c:f>EstadíaHC!$C$84:$C$92</c:f>
              <c:numCache>
                <c:formatCode>_-* #,##0_-;\-* #,##0_-;_-* "-"??_-;_-@_-</c:formatCode>
                <c:ptCount val="9"/>
                <c:pt idx="0">
                  <c:v>39.277715999999998</c:v>
                </c:pt>
                <c:pt idx="1">
                  <c:v>42.682855999999994</c:v>
                </c:pt>
                <c:pt idx="2">
                  <c:v>122.04174799999998</c:v>
                </c:pt>
                <c:pt idx="3">
                  <c:v>160.04158000000001</c:v>
                </c:pt>
                <c:pt idx="4">
                  <c:v>428.32835199999994</c:v>
                </c:pt>
                <c:pt idx="5">
                  <c:v>440.02825999999993</c:v>
                </c:pt>
                <c:pt idx="6">
                  <c:v>534.27029199999993</c:v>
                </c:pt>
                <c:pt idx="7">
                  <c:v>2314.9901680000003</c:v>
                </c:pt>
                <c:pt idx="8">
                  <c:v>2498.5616479999999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E-4F36-A1FD-84C54B740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6051840"/>
        <c:axId val="376049760"/>
      </c:barChart>
      <c:catAx>
        <c:axId val="376051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049760"/>
        <c:crosses val="autoZero"/>
        <c:auto val="1"/>
        <c:lblAlgn val="ctr"/>
        <c:lblOffset val="100"/>
        <c:noMultiLvlLbl val="0"/>
      </c:catAx>
      <c:valAx>
        <c:axId val="37604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05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EstadíaHC!$I$83</c:f>
              <c:strCache>
                <c:ptCount val="1"/>
                <c:pt idx="0">
                  <c:v>Emisiones en tCO2e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EstadíaHC!$H$84:$H$87</c:f>
              <c:strCache>
                <c:ptCount val="4"/>
                <c:pt idx="0">
                  <c:v>Cochabamba</c:v>
                </c:pt>
                <c:pt idx="1">
                  <c:v>La Paz</c:v>
                </c:pt>
                <c:pt idx="2">
                  <c:v>Otros departamentos</c:v>
                </c:pt>
                <c:pt idx="3">
                  <c:v>Santa Cruz</c:v>
                </c:pt>
              </c:strCache>
            </c:strRef>
          </c:cat>
          <c:val>
            <c:numRef>
              <c:f>EstadíaHC!$I$84:$I$87</c:f>
              <c:numCache>
                <c:formatCode>_-* #,##0_-;\-* #,##0_-;_-* "-"?_-;_-@_-</c:formatCode>
                <c:ptCount val="4"/>
                <c:pt idx="0">
                  <c:v>2836.5956072099998</c:v>
                </c:pt>
                <c:pt idx="1">
                  <c:v>4060.3812244779992</c:v>
                </c:pt>
                <c:pt idx="2">
                  <c:v>5907.9534486559996</c:v>
                </c:pt>
                <c:pt idx="3">
                  <c:v>7928.034890001999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5-4CC0-BEFE-17F7AEFF7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7640656"/>
        <c:axId val="376048928"/>
      </c:barChart>
      <c:catAx>
        <c:axId val="59764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048928"/>
        <c:crosses val="autoZero"/>
        <c:auto val="1"/>
        <c:lblAlgn val="ctr"/>
        <c:lblOffset val="100"/>
        <c:noMultiLvlLbl val="0"/>
      </c:catAx>
      <c:valAx>
        <c:axId val="37604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64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EstadíaHH!$O$19</c:f>
              <c:strCache>
                <c:ptCount val="1"/>
                <c:pt idx="0">
                  <c:v>Huella azul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EstadíaHH!$N$20:$N$23</c:f>
              <c:strCache>
                <c:ptCount val="4"/>
                <c:pt idx="0">
                  <c:v>La Paz</c:v>
                </c:pt>
                <c:pt idx="1">
                  <c:v>Cochabamba</c:v>
                </c:pt>
                <c:pt idx="2">
                  <c:v>Santa Cruz</c:v>
                </c:pt>
                <c:pt idx="3">
                  <c:v>Otros</c:v>
                </c:pt>
              </c:strCache>
            </c:strRef>
          </c:cat>
          <c:val>
            <c:numRef>
              <c:f>EstadíaHH!$O$20:$O$23</c:f>
              <c:numCache>
                <c:formatCode>_-* #,##0_-;\-* #,##0_-;_-* "-"??_-;_-@_-</c:formatCode>
                <c:ptCount val="4"/>
                <c:pt idx="0">
                  <c:v>1512860.9082128</c:v>
                </c:pt>
                <c:pt idx="1">
                  <c:v>1056889.579896</c:v>
                </c:pt>
                <c:pt idx="2">
                  <c:v>2953913.2906352002</c:v>
                </c:pt>
                <c:pt idx="3">
                  <c:v>2201249.4211455998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9-4980-A63F-5ACF447066E9}"/>
            </c:ext>
          </c:extLst>
        </c:ser>
        <c:ser>
          <c:idx val="1"/>
          <c:order val="1"/>
          <c:tx>
            <c:strRef>
              <c:f>EstadíaHH!$P$19</c:f>
              <c:strCache>
                <c:ptCount val="1"/>
                <c:pt idx="0">
                  <c:v>Huella Gris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EstadíaHH!$N$20:$N$23</c:f>
              <c:strCache>
                <c:ptCount val="4"/>
                <c:pt idx="0">
                  <c:v>La Paz</c:v>
                </c:pt>
                <c:pt idx="1">
                  <c:v>Cochabamba</c:v>
                </c:pt>
                <c:pt idx="2">
                  <c:v>Santa Cruz</c:v>
                </c:pt>
                <c:pt idx="3">
                  <c:v>Otros</c:v>
                </c:pt>
              </c:strCache>
            </c:strRef>
          </c:cat>
          <c:val>
            <c:numRef>
              <c:f>EstadíaHH!$P$20:$P$23</c:f>
              <c:numCache>
                <c:formatCode>_-* #,##0_-;\-* #,##0_-;_-* "-"??_-;_-@_-</c:formatCode>
                <c:ptCount val="4"/>
                <c:pt idx="0">
                  <c:v>167741044.41185319</c:v>
                </c:pt>
                <c:pt idx="1">
                  <c:v>120105560.35623318</c:v>
                </c:pt>
                <c:pt idx="2">
                  <c:v>335612669.99960792</c:v>
                </c:pt>
                <c:pt idx="3">
                  <c:v>222168127.97492132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9-4980-A63F-5ACF44706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9378480"/>
        <c:axId val="1299381392"/>
      </c:barChart>
      <c:catAx>
        <c:axId val="1299378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9381392"/>
        <c:crosses val="autoZero"/>
        <c:auto val="1"/>
        <c:lblAlgn val="ctr"/>
        <c:lblOffset val="100"/>
        <c:noMultiLvlLbl val="0"/>
      </c:catAx>
      <c:valAx>
        <c:axId val="129938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937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Sheet2!$D$33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Sheet2!$E$32:$H$32</c:f>
              <c:strCache>
                <c:ptCount val="4"/>
                <c:pt idx="0">
                  <c:v>Mar Baltico</c:v>
                </c:pt>
                <c:pt idx="1">
                  <c:v>Mallorca</c:v>
                </c:pt>
                <c:pt idx="2">
                  <c:v>Riviera Maya</c:v>
                </c:pt>
                <c:pt idx="3">
                  <c:v>Bolivia</c:v>
                </c:pt>
              </c:strCache>
            </c:strRef>
          </c:cat>
          <c:val>
            <c:numRef>
              <c:f>Sheet2!$E$33:$H$33</c:f>
              <c:numCache>
                <c:formatCode>General</c:formatCode>
                <c:ptCount val="4"/>
                <c:pt idx="0">
                  <c:v>80</c:v>
                </c:pt>
                <c:pt idx="1">
                  <c:v>925</c:v>
                </c:pt>
                <c:pt idx="2">
                  <c:v>6361</c:v>
                </c:pt>
                <c:pt idx="3" formatCode="0">
                  <c:v>118.24236148033576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E-4E7C-8C26-061CBBE984B0}"/>
            </c:ext>
          </c:extLst>
        </c:ser>
        <c:ser>
          <c:idx val="1"/>
          <c:order val="1"/>
          <c:tx>
            <c:strRef>
              <c:f>Sheet2!$D$34</c:f>
              <c:strCache>
                <c:ptCount val="1"/>
                <c:pt idx="0">
                  <c:v>Estadía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Sheet2!$E$32:$H$32</c:f>
              <c:strCache>
                <c:ptCount val="4"/>
                <c:pt idx="0">
                  <c:v>Mar Baltico</c:v>
                </c:pt>
                <c:pt idx="1">
                  <c:v>Mallorca</c:v>
                </c:pt>
                <c:pt idx="2">
                  <c:v>Riviera Maya</c:v>
                </c:pt>
                <c:pt idx="3">
                  <c:v>Bolivia</c:v>
                </c:pt>
              </c:strCache>
            </c:strRef>
          </c:cat>
          <c:val>
            <c:numRef>
              <c:f>Sheet2!$E$34:$H$34</c:f>
              <c:numCache>
                <c:formatCode>General</c:formatCode>
                <c:ptCount val="4"/>
                <c:pt idx="0">
                  <c:v>52</c:v>
                </c:pt>
                <c:pt idx="1">
                  <c:v>148</c:v>
                </c:pt>
                <c:pt idx="2">
                  <c:v>487</c:v>
                </c:pt>
                <c:pt idx="3" formatCode="0">
                  <c:v>11.331185314276597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E-4E7C-8C26-061CBBE984B0}"/>
            </c:ext>
          </c:extLst>
        </c:ser>
        <c:ser>
          <c:idx val="2"/>
          <c:order val="2"/>
          <c:tx>
            <c:strRef>
              <c:f>Sheet2!$D$35</c:f>
              <c:strCache>
                <c:ptCount val="1"/>
                <c:pt idx="0">
                  <c:v>Alimentos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Sheet2!$E$32:$H$32</c:f>
              <c:strCache>
                <c:ptCount val="4"/>
                <c:pt idx="0">
                  <c:v>Mar Baltico</c:v>
                </c:pt>
                <c:pt idx="1">
                  <c:v>Mallorca</c:v>
                </c:pt>
                <c:pt idx="2">
                  <c:v>Riviera Maya</c:v>
                </c:pt>
                <c:pt idx="3">
                  <c:v>Bolivia</c:v>
                </c:pt>
              </c:strCache>
            </c:strRef>
          </c:cat>
          <c:val>
            <c:numRef>
              <c:f>Sheet2!$E$35:$H$35</c:f>
              <c:numCache>
                <c:formatCode>General</c:formatCode>
                <c:ptCount val="4"/>
                <c:pt idx="0">
                  <c:v>56</c:v>
                </c:pt>
                <c:pt idx="1">
                  <c:v>91</c:v>
                </c:pt>
                <c:pt idx="2">
                  <c:v>205</c:v>
                </c:pt>
                <c:pt idx="3" formatCode="0">
                  <c:v>10.310184088762872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E-4E7C-8C26-061CBBE98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4002256"/>
        <c:axId val="514001424"/>
      </c:barChart>
      <c:catAx>
        <c:axId val="51400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01424"/>
        <c:crosses val="autoZero"/>
        <c:auto val="1"/>
        <c:lblAlgn val="ctr"/>
        <c:lblOffset val="100"/>
        <c:noMultiLvlLbl val="0"/>
      </c:catAx>
      <c:valAx>
        <c:axId val="51400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0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Sheet2!$D$33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Sheet2!$E$32:$H$32</c:f>
              <c:strCache>
                <c:ptCount val="4"/>
                <c:pt idx="0">
                  <c:v>Mar Baltico</c:v>
                </c:pt>
                <c:pt idx="1">
                  <c:v>Mallorca</c:v>
                </c:pt>
                <c:pt idx="2">
                  <c:v>Riviera Maya</c:v>
                </c:pt>
                <c:pt idx="3">
                  <c:v>Bolivia</c:v>
                </c:pt>
              </c:strCache>
            </c:strRef>
          </c:cat>
          <c:val>
            <c:numRef>
              <c:f>Sheet2!$E$33:$H$33</c:f>
              <c:numCache>
                <c:formatCode>General</c:formatCode>
                <c:ptCount val="4"/>
                <c:pt idx="0">
                  <c:v>80</c:v>
                </c:pt>
                <c:pt idx="1">
                  <c:v>925</c:v>
                </c:pt>
                <c:pt idx="2">
                  <c:v>6361</c:v>
                </c:pt>
                <c:pt idx="3" formatCode="0">
                  <c:v>118.24236148033576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1-483B-B19A-36ED4D361967}"/>
            </c:ext>
          </c:extLst>
        </c:ser>
        <c:ser>
          <c:idx val="1"/>
          <c:order val="1"/>
          <c:tx>
            <c:strRef>
              <c:f>Sheet2!$D$34</c:f>
              <c:strCache>
                <c:ptCount val="1"/>
                <c:pt idx="0">
                  <c:v>Estadía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Sheet2!$E$32:$H$32</c:f>
              <c:strCache>
                <c:ptCount val="4"/>
                <c:pt idx="0">
                  <c:v>Mar Baltico</c:v>
                </c:pt>
                <c:pt idx="1">
                  <c:v>Mallorca</c:v>
                </c:pt>
                <c:pt idx="2">
                  <c:v>Riviera Maya</c:v>
                </c:pt>
                <c:pt idx="3">
                  <c:v>Bolivia</c:v>
                </c:pt>
              </c:strCache>
            </c:strRef>
          </c:cat>
          <c:val>
            <c:numRef>
              <c:f>Sheet2!$E$34:$H$34</c:f>
              <c:numCache>
                <c:formatCode>General</c:formatCode>
                <c:ptCount val="4"/>
                <c:pt idx="0">
                  <c:v>52</c:v>
                </c:pt>
                <c:pt idx="1">
                  <c:v>148</c:v>
                </c:pt>
                <c:pt idx="2">
                  <c:v>487</c:v>
                </c:pt>
                <c:pt idx="3" formatCode="0">
                  <c:v>11.331185314276597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91-483B-B19A-36ED4D361967}"/>
            </c:ext>
          </c:extLst>
        </c:ser>
        <c:ser>
          <c:idx val="2"/>
          <c:order val="2"/>
          <c:tx>
            <c:strRef>
              <c:f>Sheet2!$D$35</c:f>
              <c:strCache>
                <c:ptCount val="1"/>
                <c:pt idx="0">
                  <c:v>Alimentos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Sheet2!$E$32:$H$32</c:f>
              <c:strCache>
                <c:ptCount val="4"/>
                <c:pt idx="0">
                  <c:v>Mar Baltico</c:v>
                </c:pt>
                <c:pt idx="1">
                  <c:v>Mallorca</c:v>
                </c:pt>
                <c:pt idx="2">
                  <c:v>Riviera Maya</c:v>
                </c:pt>
                <c:pt idx="3">
                  <c:v>Bolivia</c:v>
                </c:pt>
              </c:strCache>
            </c:strRef>
          </c:cat>
          <c:val>
            <c:numRef>
              <c:f>Sheet2!$E$35:$H$35</c:f>
              <c:numCache>
                <c:formatCode>General</c:formatCode>
                <c:ptCount val="4"/>
                <c:pt idx="0">
                  <c:v>56</c:v>
                </c:pt>
                <c:pt idx="1">
                  <c:v>91</c:v>
                </c:pt>
                <c:pt idx="2">
                  <c:v>205</c:v>
                </c:pt>
                <c:pt idx="3" formatCode="0">
                  <c:v>10.310184088762872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91-483B-B19A-36ED4D361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4002256"/>
        <c:axId val="514001424"/>
      </c:barChart>
      <c:catAx>
        <c:axId val="51400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01424"/>
        <c:crosses val="autoZero"/>
        <c:auto val="1"/>
        <c:lblAlgn val="ctr"/>
        <c:lblOffset val="100"/>
        <c:noMultiLvlLbl val="0"/>
      </c:catAx>
      <c:valAx>
        <c:axId val="51400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0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16-4423-8C2D-8C12EC64D5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16-4423-8C2D-8C12EC64D5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'Resultados HC'!$C$23:$C$24</c:f>
              <c:strCache>
                <c:ptCount val="2"/>
                <c:pt idx="0">
                  <c:v>Turismo extranjero</c:v>
                </c:pt>
                <c:pt idx="1">
                  <c:v>Turismo interno </c:v>
                </c:pt>
              </c:strCache>
            </c:strRef>
          </c:cat>
          <c:val>
            <c:numRef>
              <c:f>'Resultados HC'!$D$23:$D$24</c:f>
              <c:numCache>
                <c:formatCode>_-* #,##0_-;\-* #,##0_-;_-* "-"??_-;_-@_-</c:formatCode>
                <c:ptCount val="2"/>
                <c:pt idx="0">
                  <c:v>251238.08076148442</c:v>
                </c:pt>
                <c:pt idx="1">
                  <c:v>86769.493719197548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7-4376-B9CC-3F0C9D0EA02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'Resultados HC'!$C$29</c:f>
              <c:strCache>
                <c:ptCount val="1"/>
                <c:pt idx="0">
                  <c:v>Turismo extranjero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'Resultados HC'!$D$28:$H$28</c:f>
              <c:strCache>
                <c:ptCount val="5"/>
                <c:pt idx="0">
                  <c:v>Transporte aéreo</c:v>
                </c:pt>
                <c:pt idx="1">
                  <c:v>Transporte terrestre</c:v>
                </c:pt>
                <c:pt idx="2">
                  <c:v>Estadias </c:v>
                </c:pt>
                <c:pt idx="3">
                  <c:v>Alimentación</c:v>
                </c:pt>
                <c:pt idx="4">
                  <c:v>Residuos</c:v>
                </c:pt>
              </c:strCache>
            </c:strRef>
          </c:cat>
          <c:val>
            <c:numRef>
              <c:f>'Resultados HC'!$D$29:$H$29</c:f>
              <c:numCache>
                <c:formatCode>_-* #,##0_-;\-* #,##0_-;_-* "-"??_-;_-@_-</c:formatCode>
                <c:ptCount val="5"/>
                <c:pt idx="0">
                  <c:v>210333.59622994001</c:v>
                </c:pt>
                <c:pt idx="1">
                  <c:v>8646.4674233780006</c:v>
                </c:pt>
                <c:pt idx="2">
                  <c:v>6580.2226200000014</c:v>
                </c:pt>
                <c:pt idx="3">
                  <c:v>24852.121500000001</c:v>
                </c:pt>
                <c:pt idx="4">
                  <c:v>825.67298816640016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3-43E1-92C8-7E17DD873A96}"/>
            </c:ext>
          </c:extLst>
        </c:ser>
        <c:ser>
          <c:idx val="1"/>
          <c:order val="1"/>
          <c:tx>
            <c:strRef>
              <c:f>'Resultados HC'!$C$30</c:f>
              <c:strCache>
                <c:ptCount val="1"/>
                <c:pt idx="0">
                  <c:v>Turismo interno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'Resultados HC'!$D$28:$H$28</c:f>
              <c:strCache>
                <c:ptCount val="5"/>
                <c:pt idx="0">
                  <c:v>Transporte aéreo</c:v>
                </c:pt>
                <c:pt idx="1">
                  <c:v>Transporte terrestre</c:v>
                </c:pt>
                <c:pt idx="2">
                  <c:v>Estadias </c:v>
                </c:pt>
                <c:pt idx="3">
                  <c:v>Alimentación</c:v>
                </c:pt>
                <c:pt idx="4">
                  <c:v>Residuos</c:v>
                </c:pt>
              </c:strCache>
            </c:strRef>
          </c:cat>
          <c:val>
            <c:numRef>
              <c:f>'Resultados HC'!$D$30:$H$30</c:f>
              <c:numCache>
                <c:formatCode>_-* #,##0_-;\-* #,##0_-;_-* "-"??_-;_-@_-</c:formatCode>
                <c:ptCount val="5"/>
                <c:pt idx="0">
                  <c:v>2090.5817132675229</c:v>
                </c:pt>
                <c:pt idx="1">
                  <c:v>63945.946835584022</c:v>
                </c:pt>
                <c:pt idx="2">
                  <c:v>20732.965170346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3-43E1-92C8-7E17DD873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5370448"/>
        <c:axId val="605370864"/>
      </c:barChart>
      <c:catAx>
        <c:axId val="60537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370864"/>
        <c:crosses val="autoZero"/>
        <c:auto val="1"/>
        <c:lblAlgn val="ctr"/>
        <c:lblOffset val="100"/>
        <c:noMultiLvlLbl val="0"/>
      </c:catAx>
      <c:valAx>
        <c:axId val="60537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37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Sheet2!$D$33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Sheet2!$E$32:$H$32</c:f>
              <c:strCache>
                <c:ptCount val="4"/>
                <c:pt idx="0">
                  <c:v>Mar Baltico</c:v>
                </c:pt>
                <c:pt idx="1">
                  <c:v>Mallorca</c:v>
                </c:pt>
                <c:pt idx="2">
                  <c:v>Riviera Maya</c:v>
                </c:pt>
                <c:pt idx="3">
                  <c:v>Bolivia</c:v>
                </c:pt>
              </c:strCache>
            </c:strRef>
          </c:cat>
          <c:val>
            <c:numRef>
              <c:f>Sheet2!$E$33:$H$33</c:f>
              <c:numCache>
                <c:formatCode>General</c:formatCode>
                <c:ptCount val="4"/>
                <c:pt idx="0">
                  <c:v>80</c:v>
                </c:pt>
                <c:pt idx="1">
                  <c:v>925</c:v>
                </c:pt>
                <c:pt idx="2">
                  <c:v>6361</c:v>
                </c:pt>
                <c:pt idx="3" formatCode="0">
                  <c:v>118.24236148033576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2-4D32-A6D3-CEA24C089F2E}"/>
            </c:ext>
          </c:extLst>
        </c:ser>
        <c:ser>
          <c:idx val="1"/>
          <c:order val="1"/>
          <c:tx>
            <c:strRef>
              <c:f>Sheet2!$D$34</c:f>
              <c:strCache>
                <c:ptCount val="1"/>
                <c:pt idx="0">
                  <c:v>Estadía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Sheet2!$E$32:$H$32</c:f>
              <c:strCache>
                <c:ptCount val="4"/>
                <c:pt idx="0">
                  <c:v>Mar Baltico</c:v>
                </c:pt>
                <c:pt idx="1">
                  <c:v>Mallorca</c:v>
                </c:pt>
                <c:pt idx="2">
                  <c:v>Riviera Maya</c:v>
                </c:pt>
                <c:pt idx="3">
                  <c:v>Bolivia</c:v>
                </c:pt>
              </c:strCache>
            </c:strRef>
          </c:cat>
          <c:val>
            <c:numRef>
              <c:f>Sheet2!$E$34:$H$34</c:f>
              <c:numCache>
                <c:formatCode>General</c:formatCode>
                <c:ptCount val="4"/>
                <c:pt idx="0">
                  <c:v>52</c:v>
                </c:pt>
                <c:pt idx="1">
                  <c:v>148</c:v>
                </c:pt>
                <c:pt idx="2">
                  <c:v>487</c:v>
                </c:pt>
                <c:pt idx="3" formatCode="0">
                  <c:v>11.331185314276597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62-4D32-A6D3-CEA24C089F2E}"/>
            </c:ext>
          </c:extLst>
        </c:ser>
        <c:ser>
          <c:idx val="2"/>
          <c:order val="2"/>
          <c:tx>
            <c:strRef>
              <c:f>Sheet2!$D$35</c:f>
              <c:strCache>
                <c:ptCount val="1"/>
                <c:pt idx="0">
                  <c:v>Alimentos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Sheet2!$E$32:$H$32</c:f>
              <c:strCache>
                <c:ptCount val="4"/>
                <c:pt idx="0">
                  <c:v>Mar Baltico</c:v>
                </c:pt>
                <c:pt idx="1">
                  <c:v>Mallorca</c:v>
                </c:pt>
                <c:pt idx="2">
                  <c:v>Riviera Maya</c:v>
                </c:pt>
                <c:pt idx="3">
                  <c:v>Bolivia</c:v>
                </c:pt>
              </c:strCache>
            </c:strRef>
          </c:cat>
          <c:val>
            <c:numRef>
              <c:f>Sheet2!$E$35:$H$35</c:f>
              <c:numCache>
                <c:formatCode>General</c:formatCode>
                <c:ptCount val="4"/>
                <c:pt idx="0">
                  <c:v>56</c:v>
                </c:pt>
                <c:pt idx="1">
                  <c:v>91</c:v>
                </c:pt>
                <c:pt idx="2">
                  <c:v>205</c:v>
                </c:pt>
                <c:pt idx="3" formatCode="0">
                  <c:v>10.310184088762872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62-4D32-A6D3-CEA24C089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4002256"/>
        <c:axId val="514001424"/>
      </c:barChart>
      <c:catAx>
        <c:axId val="51400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01424"/>
        <c:crosses val="autoZero"/>
        <c:auto val="1"/>
        <c:lblAlgn val="ctr"/>
        <c:lblOffset val="100"/>
        <c:noMultiLvlLbl val="0"/>
      </c:catAx>
      <c:valAx>
        <c:axId val="51400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0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0F-46DE-B66D-5E310CC54C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0F-46DE-B66D-5E310CC54C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('Resultados HH'!$B$6,'Resultados HH'!$B$9)</c:f>
              <c:strCache>
                <c:ptCount val="2"/>
                <c:pt idx="0">
                  <c:v>Huella directa</c:v>
                </c:pt>
                <c:pt idx="1">
                  <c:v>Huella indirecta</c:v>
                </c:pt>
              </c:strCache>
            </c:strRef>
          </c:cat>
          <c:val>
            <c:numRef>
              <c:f>('Resultados HH'!$C$6,'Resultados HH'!$C$9)</c:f>
              <c:numCache>
                <c:formatCode>#,##0</c:formatCode>
                <c:ptCount val="2"/>
                <c:pt idx="0">
                  <c:v>548368.65153197956</c:v>
                </c:pt>
                <c:pt idx="1">
                  <c:v>17358269.538599998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7-46F5-A454-20685A0F2A5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F2-4E60-B5B5-00092CBAA9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F2-4E60-B5B5-00092CBAA9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F2-4E60-B5B5-00092CBAA9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F2-4E60-B5B5-00092CBAA9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('Resultados HH'!$B$7,'Resultados HH'!$B$8,'Resultados HH'!$B$10,'Resultados HH'!$B$11)</c:f>
              <c:strCache>
                <c:ptCount val="4"/>
                <c:pt idx="0">
                  <c:v>Consumo directo (Huella azul)</c:v>
                </c:pt>
                <c:pt idx="1">
                  <c:v>Contaminación (Huella gris)</c:v>
                </c:pt>
                <c:pt idx="2">
                  <c:v>Alimentos</c:v>
                </c:pt>
                <c:pt idx="3">
                  <c:v>Textiles </c:v>
                </c:pt>
              </c:strCache>
            </c:strRef>
          </c:cat>
          <c:val>
            <c:numRef>
              <c:f>('Resultados HH'!$C$7,'Resultados HH'!$C$8,'Resultados HH'!$C$10,'Resultados HH'!$C$11)</c:f>
              <c:numCache>
                <c:formatCode>#,##0</c:formatCode>
                <c:ptCount val="4"/>
                <c:pt idx="0">
                  <c:v>5039.2191000000003</c:v>
                </c:pt>
                <c:pt idx="1">
                  <c:v>543329.43243197957</c:v>
                </c:pt>
                <c:pt idx="2">
                  <c:v>7819199.7692999989</c:v>
                </c:pt>
                <c:pt idx="3">
                  <c:v>9539069.769299997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3-42A3-85E3-B49230BF22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EA1-48F9-A8EA-0AD63D17A2D1}"/>
              </c:ext>
            </c:extLst>
          </c:dPt>
          <c:cat>
            <c:strRef>
              <c:f>('Resultados HH'!$B$7,'Resultados HH'!$B$8)</c:f>
              <c:strCache>
                <c:ptCount val="2"/>
                <c:pt idx="0">
                  <c:v>Consumo directo (Huella azul)</c:v>
                </c:pt>
                <c:pt idx="1">
                  <c:v>Contaminación (Huella gris)</c:v>
                </c:pt>
              </c:strCache>
            </c:strRef>
          </c:cat>
          <c:val>
            <c:numRef>
              <c:f>('Resultados HH'!$C$7,'Resultados HH'!$C$8)</c:f>
              <c:numCache>
                <c:formatCode>#,##0</c:formatCode>
                <c:ptCount val="2"/>
                <c:pt idx="0">
                  <c:v>5039.2191000000003</c:v>
                </c:pt>
                <c:pt idx="1">
                  <c:v>543329.43243197957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1-48F9-A8EA-0AD63D17A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9206704"/>
        <c:axId val="489208784"/>
      </c:barChart>
      <c:catAx>
        <c:axId val="48920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208784"/>
        <c:crosses val="autoZero"/>
        <c:auto val="1"/>
        <c:lblAlgn val="ctr"/>
        <c:lblOffset val="100"/>
        <c:noMultiLvlLbl val="0"/>
      </c:catAx>
      <c:valAx>
        <c:axId val="48920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20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9E-443A-9F5B-E93E00726F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9E-443A-9F5B-E93E00726FD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9E-443A-9F5B-E93E00726F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9E-443A-9F5B-E93E00726FD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29E-443A-9F5B-E93E00726FD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29E-443A-9F5B-E93E00726F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'Resultados HH'!$B$32:$B$37</c:f>
              <c:strCache>
                <c:ptCount val="6"/>
                <c:pt idx="0">
                  <c:v>Carne</c:v>
                </c:pt>
                <c:pt idx="1">
                  <c:v>Lacteos</c:v>
                </c:pt>
                <c:pt idx="2">
                  <c:v>Cereales</c:v>
                </c:pt>
                <c:pt idx="3">
                  <c:v>Vegetales</c:v>
                </c:pt>
                <c:pt idx="4">
                  <c:v>Frutas</c:v>
                </c:pt>
                <c:pt idx="5">
                  <c:v>Textiles</c:v>
                </c:pt>
              </c:strCache>
            </c:strRef>
          </c:cat>
          <c:val>
            <c:numRef>
              <c:f>'Resultados HH'!$D$32:$D$37</c:f>
              <c:numCache>
                <c:formatCode>_-* #,##0_-;\-* #,##0_-;_-* "-"??_-;_-@_-</c:formatCode>
                <c:ptCount val="6"/>
                <c:pt idx="0">
                  <c:v>2832281.9160000002</c:v>
                </c:pt>
                <c:pt idx="1">
                  <c:v>3385994.0624999995</c:v>
                </c:pt>
                <c:pt idx="2">
                  <c:v>1254559.1715000004</c:v>
                </c:pt>
                <c:pt idx="3">
                  <c:v>104619.69209999999</c:v>
                </c:pt>
                <c:pt idx="4">
                  <c:v>241744.92719999998</c:v>
                </c:pt>
                <c:pt idx="5" formatCode="#,##0">
                  <c:v>1719870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A-4286-A337-EE7CD2C565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AA-4700-9D84-15CD96D245D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AA-4700-9D84-15CD96D245D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AA-4700-9D84-15CD96D245D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AA-4700-9D84-15CD96D245D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AAA-4700-9D84-15CD96D245D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AAA-4700-9D84-15CD96D245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HH'!$B$32:$B$37</c:f>
              <c:strCache>
                <c:ptCount val="6"/>
                <c:pt idx="0">
                  <c:v>Carne</c:v>
                </c:pt>
                <c:pt idx="1">
                  <c:v>Lacteos</c:v>
                </c:pt>
                <c:pt idx="2">
                  <c:v>Cereales</c:v>
                </c:pt>
                <c:pt idx="3">
                  <c:v>Vegetales</c:v>
                </c:pt>
                <c:pt idx="4">
                  <c:v>Frutas</c:v>
                </c:pt>
                <c:pt idx="5">
                  <c:v>Textiles</c:v>
                </c:pt>
              </c:strCache>
            </c:strRef>
          </c:cat>
          <c:val>
            <c:numRef>
              <c:f>'Resultados HH'!$D$32:$D$37</c:f>
              <c:numCache>
                <c:formatCode>_-* #,##0_-;\-* #,##0_-;_-* "-"??_-;_-@_-</c:formatCode>
                <c:ptCount val="6"/>
                <c:pt idx="0">
                  <c:v>2832281.9160000002</c:v>
                </c:pt>
                <c:pt idx="1">
                  <c:v>3385994.0624999995</c:v>
                </c:pt>
                <c:pt idx="2">
                  <c:v>1254559.1715000004</c:v>
                </c:pt>
                <c:pt idx="3">
                  <c:v>104619.69209999999</c:v>
                </c:pt>
                <c:pt idx="4">
                  <c:v>241744.92719999998</c:v>
                </c:pt>
                <c:pt idx="5" formatCode="#,##0">
                  <c:v>1719870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AA-4700-9D84-15CD96D24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47131936"/>
        <c:axId val="2047131520"/>
      </c:barChart>
      <c:valAx>
        <c:axId val="204713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131936"/>
        <c:crosses val="autoZero"/>
        <c:crossBetween val="between"/>
      </c:valAx>
      <c:catAx>
        <c:axId val="2047131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7131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gif"/><Relationship Id="rId1" Type="http://schemas.openxmlformats.org/officeDocument/2006/relationships/image" Target="../media/image3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190499</xdr:rowOff>
    </xdr:from>
    <xdr:to>
      <xdr:col>3</xdr:col>
      <xdr:colOff>2073322</xdr:colOff>
      <xdr:row>16</xdr:row>
      <xdr:rowOff>100692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BE925F-5955-4F75-A89C-13F5AB144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7071" y="4748892"/>
          <a:ext cx="2073322" cy="12790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393141</xdr:colOff>
      <xdr:row>5</xdr:row>
      <xdr:rowOff>95250</xdr:rowOff>
    </xdr:from>
    <xdr:to>
      <xdr:col>17</xdr:col>
      <xdr:colOff>95877</xdr:colOff>
      <xdr:row>22</xdr:row>
      <xdr:rowOff>5235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533400</xdr:colOff>
      <xdr:row>4</xdr:row>
      <xdr:rowOff>104775</xdr:rowOff>
    </xdr:from>
    <xdr:to>
      <xdr:col>27</xdr:col>
      <xdr:colOff>228600</xdr:colOff>
      <xdr:row>16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333375</xdr:colOff>
      <xdr:row>26</xdr:row>
      <xdr:rowOff>43542</xdr:rowOff>
    </xdr:from>
    <xdr:to>
      <xdr:col>17</xdr:col>
      <xdr:colOff>231321</xdr:colOff>
      <xdr:row>40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231321</xdr:colOff>
      <xdr:row>48</xdr:row>
      <xdr:rowOff>40822</xdr:rowOff>
    </xdr:from>
    <xdr:to>
      <xdr:col>16</xdr:col>
      <xdr:colOff>521153</xdr:colOff>
      <xdr:row>63</xdr:row>
      <xdr:rowOff>35379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4</xdr:row>
      <xdr:rowOff>76200</xdr:rowOff>
    </xdr:from>
    <xdr:to>
      <xdr:col>13</xdr:col>
      <xdr:colOff>247650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571500</xdr:colOff>
      <xdr:row>20</xdr:row>
      <xdr:rowOff>47625</xdr:rowOff>
    </xdr:from>
    <xdr:to>
      <xdr:col>13</xdr:col>
      <xdr:colOff>266700</xdr:colOff>
      <xdr:row>34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533400</xdr:colOff>
      <xdr:row>4</xdr:row>
      <xdr:rowOff>66675</xdr:rowOff>
    </xdr:from>
    <xdr:to>
      <xdr:col>26</xdr:col>
      <xdr:colOff>209550</xdr:colOff>
      <xdr:row>17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581025</xdr:colOff>
      <xdr:row>37</xdr:row>
      <xdr:rowOff>180975</xdr:rowOff>
    </xdr:from>
    <xdr:to>
      <xdr:col>13</xdr:col>
      <xdr:colOff>276225</xdr:colOff>
      <xdr:row>52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18</xdr:col>
      <xdr:colOff>209550</xdr:colOff>
      <xdr:row>52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590550</xdr:colOff>
      <xdr:row>20</xdr:row>
      <xdr:rowOff>66675</xdr:rowOff>
    </xdr:from>
    <xdr:to>
      <xdr:col>25</xdr:col>
      <xdr:colOff>38100</xdr:colOff>
      <xdr:row>32</xdr:row>
      <xdr:rowOff>90487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82F57AD-D739-B67B-908B-A761404DCD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52</xdr:row>
      <xdr:rowOff>84365</xdr:rowOff>
    </xdr:from>
    <xdr:to>
      <xdr:col>7</xdr:col>
      <xdr:colOff>1646464</xdr:colOff>
      <xdr:row>66</xdr:row>
      <xdr:rowOff>160565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489857</xdr:colOff>
      <xdr:row>52</xdr:row>
      <xdr:rowOff>136070</xdr:rowOff>
    </xdr:from>
    <xdr:to>
      <xdr:col>20</xdr:col>
      <xdr:colOff>95250</xdr:colOff>
      <xdr:row>67</xdr:row>
      <xdr:rowOff>10885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966108</xdr:colOff>
      <xdr:row>160</xdr:row>
      <xdr:rowOff>125186</xdr:rowOff>
    </xdr:from>
    <xdr:to>
      <xdr:col>13</xdr:col>
      <xdr:colOff>285750</xdr:colOff>
      <xdr:row>175</xdr:row>
      <xdr:rowOff>10886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646580</xdr:colOff>
      <xdr:row>81</xdr:row>
      <xdr:rowOff>110938</xdr:rowOff>
    </xdr:from>
    <xdr:to>
      <xdr:col>6</xdr:col>
      <xdr:colOff>683560</xdr:colOff>
      <xdr:row>95</xdr:row>
      <xdr:rowOff>187138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413497</xdr:colOff>
      <xdr:row>82</xdr:row>
      <xdr:rowOff>25214</xdr:rowOff>
    </xdr:from>
    <xdr:to>
      <xdr:col>12</xdr:col>
      <xdr:colOff>982195</xdr:colOff>
      <xdr:row>96</xdr:row>
      <xdr:rowOff>101414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0</xdr:colOff>
      <xdr:row>105</xdr:row>
      <xdr:rowOff>0</xdr:rowOff>
    </xdr:from>
    <xdr:to>
      <xdr:col>13</xdr:col>
      <xdr:colOff>939</xdr:colOff>
      <xdr:row>113</xdr:row>
      <xdr:rowOff>66897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02A569-CBB3-45DD-8846-7062F447E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9200" y="6286500"/>
          <a:ext cx="6725589" cy="15908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1524000</xdr:colOff>
      <xdr:row>26</xdr:row>
      <xdr:rowOff>100012</xdr:rowOff>
    </xdr:from>
    <xdr:to>
      <xdr:col>15</xdr:col>
      <xdr:colOff>933450</xdr:colOff>
      <xdr:row>40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A323460-5F2D-84D9-0D70-3519E8560E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8</xdr:col>
      <xdr:colOff>437515</xdr:colOff>
      <xdr:row>22</xdr:row>
      <xdr:rowOff>164465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14500"/>
          <a:ext cx="5400040" cy="2640965"/>
        </a:xfrm>
        <a:prstGeom prst="rect">
          <a:avLst/>
        </a:prstGeom>
      </xdr:spPr>
    </xdr:pic>
    <xdr:clientData/>
  </xdr:twoCellAnchor>
  <xdr:twoCellAnchor editAs="oneCell">
    <xdr:from>
      <xdr:col>11</xdr:col>
      <xdr:colOff>511342</xdr:colOff>
      <xdr:row>9</xdr:row>
      <xdr:rowOff>0</xdr:rowOff>
    </xdr:from>
    <xdr:to>
      <xdr:col>20</xdr:col>
      <xdr:colOff>166437</xdr:colOff>
      <xdr:row>29</xdr:row>
      <xdr:rowOff>95250</xdr:rowOff>
    </xdr:to>
    <xdr:pic>
      <xdr:nvPicPr>
        <xdr:cNvPr id="3" name="Picture 2" descr="https://www.greeneatz.com/wp-content/uploads/2013/01/foods-carbon-footprint-7.gi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421" y="1714500"/>
          <a:ext cx="5159542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10</xdr:col>
      <xdr:colOff>543864</xdr:colOff>
      <xdr:row>41</xdr:row>
      <xdr:rowOff>66897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9200" y="6286500"/>
          <a:ext cx="6725589" cy="1590897"/>
        </a:xfrm>
        <a:prstGeom prst="rect">
          <a:avLst/>
        </a:prstGeom>
      </xdr:spPr>
    </xdr:pic>
    <xdr:clientData/>
  </xdr:twoCellAnchor>
  <xdr:twoCellAnchor editAs="oneCell">
    <xdr:from>
      <xdr:col>1</xdr:col>
      <xdr:colOff>581025</xdr:colOff>
      <xdr:row>45</xdr:row>
      <xdr:rowOff>66675</xdr:rowOff>
    </xdr:from>
    <xdr:to>
      <xdr:col>9</xdr:col>
      <xdr:colOff>448519</xdr:colOff>
      <xdr:row>52</xdr:row>
      <xdr:rowOff>38282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0625" y="8639175"/>
          <a:ext cx="6049219" cy="1305107"/>
        </a:xfrm>
        <a:prstGeom prst="rect">
          <a:avLst/>
        </a:prstGeom>
      </xdr:spPr>
    </xdr:pic>
    <xdr:clientData/>
  </xdr:twoCellAnchor>
  <xdr:twoCellAnchor editAs="oneCell">
    <xdr:from>
      <xdr:col>15</xdr:col>
      <xdr:colOff>352425</xdr:colOff>
      <xdr:row>51</xdr:row>
      <xdr:rowOff>171450</xdr:rowOff>
    </xdr:from>
    <xdr:to>
      <xdr:col>25</xdr:col>
      <xdr:colOff>210381</xdr:colOff>
      <xdr:row>75</xdr:row>
      <xdr:rowOff>29193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629900" y="9886950"/>
          <a:ext cx="5953956" cy="44297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24</xdr:row>
      <xdr:rowOff>142875</xdr:rowOff>
    </xdr:from>
    <xdr:to>
      <xdr:col>16</xdr:col>
      <xdr:colOff>180975</xdr:colOff>
      <xdr:row>39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2057400</xdr:colOff>
      <xdr:row>40</xdr:row>
      <xdr:rowOff>38100</xdr:rowOff>
    </xdr:from>
    <xdr:to>
      <xdr:col>14</xdr:col>
      <xdr:colOff>142875</xdr:colOff>
      <xdr:row>54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D3CABB7-8932-4486-833B-3383AE970F27}" name="Tabla4" displayName="Tabla4" ref="B17:C26" totalsRowShown="0" headerRowDxfId="20" dataDxfId="18" headerRowBorderDxfId="19" tableBorderDxfId="17">
  <autoFilter ref="B17:C26" xr:uid="{DD3CABB7-8932-4486-833B-3383AE970F27}"/>
  <sortState xmlns:xlrd2="http://schemas.microsoft.com/office/spreadsheetml/2017/richdata2" ref="B18:C26">
    <sortCondition ref="C17:C26"/>
  </sortState>
  <tableColumns count="2">
    <tableColumn id="1" xr3:uid="{A12CB9A4-7BCE-4946-9B1F-B0E10115ECCB}" name="Ciudad" dataDxfId="16">
      <calculatedColumnFormula>EstadíaHH!B6</calculatedColumnFormula>
    </tableColumn>
    <tableColumn id="2" xr3:uid="{45F2A88D-2212-493F-A1D4-BED1CAA6A366}" name="Huella grís en m3 al año" dataDxfId="15">
      <calculatedColumnFormula>EstadíaHH!G6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C52:D73" totalsRowShown="0" tableBorderDxfId="14">
  <autoFilter ref="C52:D73" xr:uid="{00000000-0009-0000-0100-000001000000}"/>
  <sortState xmlns:xlrd2="http://schemas.microsoft.com/office/spreadsheetml/2017/richdata2" ref="C53:D73">
    <sortCondition ref="D52:D73"/>
  </sortState>
  <tableColumns count="2">
    <tableColumn id="1" xr3:uid="{00000000-0010-0000-0000-000001000000}" name="País de origen " dataDxfId="13"/>
    <tableColumn id="2" xr3:uid="{00000000-0010-0000-0000-000002000000}" name="Emisiones en tCO2e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83:C92" totalsRowShown="0" headerRowDxfId="11" headerRowBorderDxfId="10" tableBorderDxfId="9" totalsRowBorderDxfId="8">
  <autoFilter ref="B83:C92" xr:uid="{00000000-0009-0000-0100-000002000000}"/>
  <sortState xmlns:xlrd2="http://schemas.microsoft.com/office/spreadsheetml/2017/richdata2" ref="B84:C92">
    <sortCondition ref="C83:C92"/>
  </sortState>
  <tableColumns count="2">
    <tableColumn id="1" xr3:uid="{00000000-0010-0000-0100-000001000000}" name="Departamento destino" dataDxfId="7"/>
    <tableColumn id="2" xr3:uid="{00000000-0010-0000-0100-000002000000}" name="Emisiones en tCO2e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H83:I87" totalsRowShown="0" headerRowDxfId="5" headerRowBorderDxfId="4" tableBorderDxfId="3" totalsRowBorderDxfId="2">
  <autoFilter ref="H83:I87" xr:uid="{00000000-0009-0000-0100-000003000000}"/>
  <sortState xmlns:xlrd2="http://schemas.microsoft.com/office/spreadsheetml/2017/richdata2" ref="H84:I87">
    <sortCondition ref="I83:I87"/>
  </sortState>
  <tableColumns count="2">
    <tableColumn id="1" xr3:uid="{00000000-0010-0000-0200-000001000000}" name="Departamento destino" dataDxfId="1"/>
    <tableColumn id="2" xr3:uid="{00000000-0010-0000-0200-000002000000}" name="Emisiones en tCO2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ciencedirect.com/science/article/pii/S2211464521000075" TargetMode="External"/><Relationship Id="rId1" Type="http://schemas.openxmlformats.org/officeDocument/2006/relationships/hyperlink" Target="https://www.greeneatz.com/foods-carbon-footprint.html" TargetMode="External"/><Relationship Id="rId4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hyperlink" Target="https://www.sciencedirect.com/science/article/pii/S2211464521000075" TargetMode="External"/><Relationship Id="rId4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scielo.org.mx/scielo.php?pid=S2448-66552020000100069&amp;script=sci_artte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F7487-FEB7-4A5E-8649-7CDE0B87FADC}">
  <dimension ref="B2:E15"/>
  <sheetViews>
    <sheetView showGridLines="0" zoomScale="70" zoomScaleNormal="70" workbookViewId="0">
      <selection activeCell="C7" sqref="C7"/>
    </sheetView>
  </sheetViews>
  <sheetFormatPr defaultColWidth="9.140625" defaultRowHeight="15"/>
  <cols>
    <col min="2" max="2" width="19.85546875" customWidth="1"/>
    <col min="3" max="3" width="150.140625" customWidth="1"/>
    <col min="4" max="4" width="36.28515625" customWidth="1"/>
    <col min="5" max="5" width="109.28515625" customWidth="1"/>
  </cols>
  <sheetData>
    <row r="2" spans="2:5" ht="15.75" thickBot="1"/>
    <row r="3" spans="2:5" ht="36">
      <c r="B3" s="115" t="s">
        <v>460</v>
      </c>
      <c r="C3" s="107"/>
      <c r="D3" s="108"/>
    </row>
    <row r="4" spans="2:5">
      <c r="B4" s="109"/>
      <c r="D4" s="110"/>
    </row>
    <row r="5" spans="2:5" ht="63" customHeight="1">
      <c r="B5" s="127" t="s">
        <v>476</v>
      </c>
      <c r="C5" s="128"/>
      <c r="D5" s="129"/>
    </row>
    <row r="6" spans="2:5" ht="26.25" customHeight="1">
      <c r="B6" s="127"/>
      <c r="C6" s="128"/>
      <c r="D6" s="129"/>
    </row>
    <row r="7" spans="2:5" ht="26.25" customHeight="1">
      <c r="B7" s="120"/>
      <c r="D7" s="116"/>
    </row>
    <row r="8" spans="2:5" ht="26.25" customHeight="1">
      <c r="B8" s="109"/>
      <c r="D8" s="116"/>
    </row>
    <row r="9" spans="2:5" ht="21">
      <c r="B9" s="117" t="s">
        <v>461</v>
      </c>
      <c r="C9" s="118"/>
      <c r="D9" s="119"/>
      <c r="E9" s="121"/>
    </row>
    <row r="10" spans="2:5" ht="31.5" customHeight="1">
      <c r="B10" s="111" t="s">
        <v>462</v>
      </c>
      <c r="C10" s="80"/>
      <c r="D10" s="110"/>
    </row>
    <row r="11" spans="2:5" ht="31.5" hidden="1" customHeight="1">
      <c r="B11" s="111" t="s">
        <v>463</v>
      </c>
      <c r="C11" s="80"/>
      <c r="D11" s="110"/>
    </row>
    <row r="12" spans="2:5" ht="31.5" customHeight="1">
      <c r="B12" s="111" t="s">
        <v>464</v>
      </c>
      <c r="C12" s="80"/>
      <c r="D12" s="110"/>
    </row>
    <row r="13" spans="2:5" ht="31.5" customHeight="1">
      <c r="B13" s="111" t="s">
        <v>465</v>
      </c>
      <c r="C13" s="80"/>
      <c r="D13" s="110"/>
    </row>
    <row r="14" spans="2:5" ht="31.5" customHeight="1">
      <c r="B14" s="111" t="s">
        <v>466</v>
      </c>
      <c r="C14" s="80"/>
      <c r="D14" s="110"/>
    </row>
    <row r="15" spans="2:5" ht="31.5" hidden="1" customHeight="1" thickBot="1">
      <c r="B15" s="112" t="s">
        <v>467</v>
      </c>
      <c r="C15" s="113"/>
      <c r="D15" s="114"/>
    </row>
  </sheetData>
  <mergeCells count="2"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Y102"/>
  <sheetViews>
    <sheetView zoomScaleNormal="100" workbookViewId="0">
      <selection activeCell="C32" sqref="C32:K42"/>
    </sheetView>
  </sheetViews>
  <sheetFormatPr defaultColWidth="9.140625" defaultRowHeight="15"/>
  <cols>
    <col min="3" max="3" width="26.140625" customWidth="1"/>
    <col min="7" max="7" width="11.7109375" bestFit="1" customWidth="1"/>
  </cols>
  <sheetData>
    <row r="2" spans="3:13">
      <c r="C2" t="s">
        <v>236</v>
      </c>
    </row>
    <row r="3" spans="3:13">
      <c r="C3" t="s">
        <v>83</v>
      </c>
      <c r="D3" s="33">
        <v>0.25355</v>
      </c>
      <c r="E3" s="33">
        <v>1.2E-4</v>
      </c>
      <c r="F3" s="33">
        <v>1.2600000000000001E-3</v>
      </c>
    </row>
    <row r="4" spans="3:13">
      <c r="C4" t="s">
        <v>84</v>
      </c>
      <c r="D4" s="33">
        <v>0.15495</v>
      </c>
      <c r="E4" s="33">
        <v>1.0000000000000001E-5</v>
      </c>
      <c r="F4" s="33">
        <v>7.6999999999999996E-4</v>
      </c>
    </row>
    <row r="5" spans="3:13">
      <c r="C5" t="s">
        <v>85</v>
      </c>
      <c r="D5" s="33">
        <v>0.14906</v>
      </c>
      <c r="E5" s="33">
        <v>1.0000000000000001E-5</v>
      </c>
      <c r="F5" s="33">
        <v>7.3999999999999999E-4</v>
      </c>
      <c r="M5" t="s">
        <v>239</v>
      </c>
    </row>
    <row r="6" spans="3:13">
      <c r="M6" s="43" t="s">
        <v>415</v>
      </c>
    </row>
    <row r="8" spans="3:13">
      <c r="C8" t="s">
        <v>237</v>
      </c>
    </row>
    <row r="26" spans="3:19">
      <c r="C26" t="s">
        <v>238</v>
      </c>
    </row>
    <row r="28" spans="3:19">
      <c r="C28" t="s">
        <v>125</v>
      </c>
    </row>
    <row r="29" spans="3:19">
      <c r="C29" s="8">
        <f>'Transporte terrestre'!C155</f>
        <v>2410441.67432022</v>
      </c>
      <c r="M29" t="s">
        <v>298</v>
      </c>
      <c r="S29" s="38">
        <f>0.78/2.5</f>
        <v>0.312</v>
      </c>
    </row>
    <row r="31" spans="3:19">
      <c r="O31" t="s">
        <v>322</v>
      </c>
      <c r="P31" t="s">
        <v>414</v>
      </c>
    </row>
    <row r="32" spans="3:19">
      <c r="C32" t="s">
        <v>241</v>
      </c>
      <c r="O32" t="s">
        <v>323</v>
      </c>
      <c r="P32" s="65">
        <v>7.75</v>
      </c>
      <c r="Q32" s="66">
        <f>P32/365*100</f>
        <v>2.1232876712328768</v>
      </c>
      <c r="R32">
        <f>(27+39.2)/2</f>
        <v>33.1</v>
      </c>
      <c r="S32" s="66">
        <f>Q32/R32</f>
        <v>6.4147663783470588E-2</v>
      </c>
    </row>
    <row r="33" spans="3:19">
      <c r="C33" s="43" t="s">
        <v>240</v>
      </c>
      <c r="O33" t="s">
        <v>324</v>
      </c>
      <c r="P33" s="65">
        <v>3.45</v>
      </c>
      <c r="Q33" s="66">
        <f t="shared" ref="Q33:Q40" si="0">P33/365*100</f>
        <v>0.9452054794520548</v>
      </c>
      <c r="R33">
        <f>(6.9+12.1)/2</f>
        <v>9.5</v>
      </c>
      <c r="S33" s="66">
        <f t="shared" ref="S33:S37" si="1">Q33/R33</f>
        <v>9.9495313626532078E-2</v>
      </c>
    </row>
    <row r="34" spans="3:19">
      <c r="O34" t="s">
        <v>325</v>
      </c>
      <c r="P34" s="65">
        <v>4.8</v>
      </c>
      <c r="Q34" s="66">
        <f t="shared" si="0"/>
        <v>1.3150684931506849</v>
      </c>
      <c r="R34">
        <v>1.9</v>
      </c>
      <c r="S34" s="66">
        <f t="shared" si="1"/>
        <v>0.69214131218457098</v>
      </c>
    </row>
    <row r="35" spans="3:19">
      <c r="O35" t="s">
        <v>326</v>
      </c>
      <c r="P35" s="65">
        <v>3</v>
      </c>
      <c r="Q35" s="66">
        <f t="shared" si="0"/>
        <v>0.82191780821917804</v>
      </c>
      <c r="R35">
        <v>2.7</v>
      </c>
      <c r="S35" s="66">
        <f t="shared" si="1"/>
        <v>0.30441400304414001</v>
      </c>
    </row>
    <row r="36" spans="3:19">
      <c r="O36" t="s">
        <v>327</v>
      </c>
      <c r="P36" s="65">
        <v>1</v>
      </c>
      <c r="Q36" s="66">
        <f t="shared" si="0"/>
        <v>0.27397260273972601</v>
      </c>
      <c r="R36">
        <v>2</v>
      </c>
      <c r="S36" s="66">
        <f t="shared" si="1"/>
        <v>0.13698630136986301</v>
      </c>
    </row>
    <row r="37" spans="3:19">
      <c r="O37" t="s">
        <v>328</v>
      </c>
      <c r="P37" s="65">
        <v>1.3</v>
      </c>
      <c r="Q37" s="66">
        <f t="shared" si="0"/>
        <v>0.35616438356164387</v>
      </c>
      <c r="R37">
        <v>1.1000000000000001</v>
      </c>
      <c r="S37" s="66">
        <f t="shared" si="1"/>
        <v>0.32378580323785805</v>
      </c>
    </row>
    <row r="38" spans="3:19">
      <c r="O38" t="s">
        <v>329</v>
      </c>
      <c r="P38" s="65">
        <v>2</v>
      </c>
      <c r="Q38" s="66">
        <f t="shared" si="0"/>
        <v>0.54794520547945202</v>
      </c>
    </row>
    <row r="39" spans="3:19">
      <c r="O39" t="s">
        <v>330</v>
      </c>
      <c r="P39" s="65">
        <v>0.4</v>
      </c>
      <c r="Q39" s="66">
        <f t="shared" si="0"/>
        <v>0.10958904109589042</v>
      </c>
    </row>
    <row r="40" spans="3:19">
      <c r="O40" t="s">
        <v>331</v>
      </c>
      <c r="P40" s="65">
        <v>1.3</v>
      </c>
      <c r="Q40" s="66">
        <f t="shared" si="0"/>
        <v>0.35616438356164387</v>
      </c>
    </row>
    <row r="41" spans="3:19">
      <c r="P41" s="65">
        <f>SUM(P32:P40)</f>
        <v>25</v>
      </c>
      <c r="Q41" s="65">
        <f>SUM(Q32:Q40)</f>
        <v>6.8493150684931505</v>
      </c>
    </row>
    <row r="44" spans="3:19">
      <c r="C44" t="s">
        <v>245</v>
      </c>
    </row>
    <row r="45" spans="3:19">
      <c r="C45" s="36" t="s">
        <v>242</v>
      </c>
      <c r="P45">
        <f>2500/365</f>
        <v>6.8493150684931505</v>
      </c>
    </row>
    <row r="46" spans="3:19">
      <c r="C46" s="36" t="s">
        <v>243</v>
      </c>
    </row>
    <row r="54" spans="3:7">
      <c r="C54" t="s">
        <v>255</v>
      </c>
      <c r="G54">
        <f>1.1/1000*G55</f>
        <v>945.9285000000001</v>
      </c>
    </row>
    <row r="55" spans="3:7">
      <c r="C55" t="s">
        <v>257</v>
      </c>
      <c r="G55" s="8">
        <f>EstadíaHC!C51+EstadíaHC!I82</f>
        <v>859935</v>
      </c>
    </row>
    <row r="57" spans="3:7">
      <c r="C57" t="s">
        <v>254</v>
      </c>
      <c r="D57" t="s">
        <v>120</v>
      </c>
      <c r="E57" t="s">
        <v>258</v>
      </c>
      <c r="F57" t="s">
        <v>124</v>
      </c>
    </row>
    <row r="58" spans="3:7">
      <c r="C58" t="s">
        <v>244</v>
      </c>
      <c r="D58">
        <v>67.5</v>
      </c>
      <c r="E58">
        <f>D58/100*$G$54</f>
        <v>638.5017375000001</v>
      </c>
      <c r="F58">
        <v>0.83</v>
      </c>
      <c r="G58">
        <f>E58*F58</f>
        <v>529.95644212500008</v>
      </c>
    </row>
    <row r="59" spans="3:7">
      <c r="C59" t="s">
        <v>246</v>
      </c>
      <c r="D59">
        <v>13.77</v>
      </c>
      <c r="E59">
        <f t="shared" ref="E59:E67" si="2">D59/100*$G$54</f>
        <v>130.25435444999999</v>
      </c>
      <c r="F59">
        <v>2.2200000000000002</v>
      </c>
      <c r="G59">
        <f t="shared" ref="G59:G67" si="3">E59*F59</f>
        <v>289.16466687900004</v>
      </c>
    </row>
    <row r="60" spans="3:7">
      <c r="C60" t="s">
        <v>247</v>
      </c>
      <c r="D60">
        <v>9.6199999999999992</v>
      </c>
      <c r="E60">
        <f t="shared" si="2"/>
        <v>90.998321700000005</v>
      </c>
      <c r="G60">
        <f t="shared" si="3"/>
        <v>0</v>
      </c>
    </row>
    <row r="61" spans="3:7">
      <c r="C61" t="s">
        <v>248</v>
      </c>
      <c r="D61">
        <v>1.2</v>
      </c>
      <c r="E61">
        <f t="shared" si="2"/>
        <v>11.351142000000001</v>
      </c>
      <c r="G61">
        <f t="shared" si="3"/>
        <v>0</v>
      </c>
    </row>
    <row r="62" spans="3:7">
      <c r="C62" t="s">
        <v>249</v>
      </c>
      <c r="D62">
        <v>0.52</v>
      </c>
      <c r="E62">
        <f t="shared" si="2"/>
        <v>4.9188282000000001</v>
      </c>
      <c r="F62">
        <v>1.3320000000000001</v>
      </c>
      <c r="G62">
        <f t="shared" si="3"/>
        <v>6.5518791624000006</v>
      </c>
    </row>
    <row r="63" spans="3:7">
      <c r="C63" t="s">
        <v>250</v>
      </c>
      <c r="D63">
        <v>0.83</v>
      </c>
      <c r="E63">
        <f t="shared" si="2"/>
        <v>7.8512065500000006</v>
      </c>
      <c r="G63">
        <f t="shared" si="3"/>
        <v>0</v>
      </c>
    </row>
    <row r="64" spans="3:7">
      <c r="C64" t="s">
        <v>251</v>
      </c>
      <c r="D64">
        <v>0.52</v>
      </c>
      <c r="E64">
        <f t="shared" si="2"/>
        <v>4.9188282000000001</v>
      </c>
      <c r="G64">
        <f t="shared" si="3"/>
        <v>0</v>
      </c>
    </row>
    <row r="65" spans="3:25">
      <c r="C65" t="s">
        <v>252</v>
      </c>
      <c r="D65">
        <v>1.32</v>
      </c>
      <c r="E65">
        <f t="shared" si="2"/>
        <v>12.486256200000001</v>
      </c>
      <c r="G65">
        <f t="shared" si="3"/>
        <v>0</v>
      </c>
    </row>
    <row r="66" spans="3:25">
      <c r="C66" t="s">
        <v>253</v>
      </c>
      <c r="D66">
        <v>0.05</v>
      </c>
      <c r="E66">
        <f t="shared" si="2"/>
        <v>0.47296425000000009</v>
      </c>
      <c r="G66">
        <f t="shared" si="3"/>
        <v>0</v>
      </c>
    </row>
    <row r="67" spans="3:25">
      <c r="C67" t="s">
        <v>15</v>
      </c>
      <c r="D67">
        <v>4.66</v>
      </c>
      <c r="E67">
        <f t="shared" si="2"/>
        <v>44.080268100000005</v>
      </c>
      <c r="G67">
        <f t="shared" si="3"/>
        <v>0</v>
      </c>
    </row>
    <row r="68" spans="3:25">
      <c r="G68">
        <f>SUM(G58:G67)</f>
        <v>825.67298816640016</v>
      </c>
    </row>
    <row r="70" spans="3:25">
      <c r="C70" t="s">
        <v>263</v>
      </c>
      <c r="G70" s="38">
        <f>EstadíaHC!C51/refInfo!G55</f>
        <v>1</v>
      </c>
    </row>
    <row r="71" spans="3:25">
      <c r="C71" t="s">
        <v>262</v>
      </c>
      <c r="G71" s="41">
        <f>1-G70</f>
        <v>0</v>
      </c>
    </row>
    <row r="72" spans="3:25">
      <c r="C72" s="1"/>
      <c r="D72" s="1" t="s">
        <v>147</v>
      </c>
    </row>
    <row r="73" spans="3:25">
      <c r="C73" s="1" t="s">
        <v>266</v>
      </c>
      <c r="D73" s="22">
        <f>G68*G70</f>
        <v>825.67298816640016</v>
      </c>
    </row>
    <row r="74" spans="3:25">
      <c r="C74" s="1" t="s">
        <v>265</v>
      </c>
      <c r="D74" s="22">
        <f>G68*G71</f>
        <v>0</v>
      </c>
    </row>
    <row r="75" spans="3:25">
      <c r="C75" s="1" t="s">
        <v>206</v>
      </c>
      <c r="D75" s="22">
        <f>SUM(D73:D74)</f>
        <v>825.67298816640016</v>
      </c>
    </row>
    <row r="76" spans="3:25">
      <c r="S76" t="s">
        <v>139</v>
      </c>
      <c r="T76" t="s">
        <v>11</v>
      </c>
      <c r="U76" t="s">
        <v>12</v>
      </c>
      <c r="V76" t="s">
        <v>13</v>
      </c>
      <c r="W76" t="s">
        <v>256</v>
      </c>
      <c r="X76" t="s">
        <v>15</v>
      </c>
    </row>
    <row r="77" spans="3:25">
      <c r="S77">
        <v>2.1</v>
      </c>
      <c r="T77">
        <v>44.4</v>
      </c>
      <c r="U77">
        <v>34.4</v>
      </c>
      <c r="V77">
        <v>10.6</v>
      </c>
      <c r="W77">
        <v>7.1</v>
      </c>
      <c r="X77">
        <v>1.4</v>
      </c>
      <c r="Y77">
        <f>SUM(S77:X77)</f>
        <v>100</v>
      </c>
    </row>
    <row r="78" spans="3:25">
      <c r="S78">
        <v>3</v>
      </c>
      <c r="T78">
        <v>14.9</v>
      </c>
      <c r="U78">
        <v>52.2</v>
      </c>
      <c r="V78">
        <v>26.9</v>
      </c>
      <c r="W78">
        <v>3</v>
      </c>
      <c r="Y78">
        <f t="shared" ref="Y78:Y100" si="4">SUM(S78:X78)</f>
        <v>100</v>
      </c>
    </row>
    <row r="79" spans="3:25">
      <c r="S79">
        <v>2</v>
      </c>
      <c r="T79">
        <v>30</v>
      </c>
      <c r="U79">
        <v>54</v>
      </c>
      <c r="V79">
        <v>10</v>
      </c>
      <c r="W79">
        <v>2</v>
      </c>
      <c r="X79">
        <v>2</v>
      </c>
      <c r="Y79">
        <f t="shared" si="4"/>
        <v>100</v>
      </c>
    </row>
    <row r="80" spans="3:25">
      <c r="S80">
        <v>3.3</v>
      </c>
      <c r="T80">
        <v>40.200000000000003</v>
      </c>
      <c r="U80">
        <v>33</v>
      </c>
      <c r="V80">
        <v>16.3</v>
      </c>
      <c r="W80">
        <v>4.5999999999999996</v>
      </c>
      <c r="X80">
        <v>2.6</v>
      </c>
      <c r="Y80">
        <f t="shared" si="4"/>
        <v>99.999999999999986</v>
      </c>
    </row>
    <row r="81" spans="19:25">
      <c r="S81">
        <v>4.7</v>
      </c>
      <c r="T81">
        <v>38.4</v>
      </c>
      <c r="U81">
        <v>36.9</v>
      </c>
      <c r="V81">
        <v>9.6</v>
      </c>
      <c r="W81">
        <v>9.9</v>
      </c>
      <c r="X81">
        <v>0.5</v>
      </c>
      <c r="Y81">
        <f t="shared" si="4"/>
        <v>100</v>
      </c>
    </row>
    <row r="82" spans="19:25">
      <c r="S82">
        <v>7.5</v>
      </c>
      <c r="T82">
        <v>21.7</v>
      </c>
      <c r="U82">
        <v>51</v>
      </c>
      <c r="V82">
        <v>17</v>
      </c>
      <c r="W82">
        <v>1.9</v>
      </c>
      <c r="X82">
        <v>0.9</v>
      </c>
      <c r="Y82">
        <f t="shared" si="4"/>
        <v>100.00000000000001</v>
      </c>
    </row>
    <row r="83" spans="19:25">
      <c r="S83">
        <v>4.5</v>
      </c>
      <c r="T83">
        <v>21.6</v>
      </c>
      <c r="U83">
        <v>59.1</v>
      </c>
      <c r="V83">
        <v>8.6</v>
      </c>
      <c r="W83">
        <v>4.5</v>
      </c>
      <c r="X83">
        <v>1.7</v>
      </c>
      <c r="Y83">
        <f t="shared" si="4"/>
        <v>100</v>
      </c>
    </row>
    <row r="84" spans="19:25">
      <c r="S84">
        <v>17.100000000000001</v>
      </c>
      <c r="T84">
        <v>26.8</v>
      </c>
      <c r="U84">
        <v>29.3</v>
      </c>
      <c r="V84">
        <v>24.4</v>
      </c>
      <c r="W84">
        <v>2.4</v>
      </c>
      <c r="Y84">
        <f t="shared" si="4"/>
        <v>100</v>
      </c>
    </row>
    <row r="85" spans="19:25">
      <c r="S85">
        <v>11.1</v>
      </c>
      <c r="T85">
        <v>35.299999999999997</v>
      </c>
      <c r="U85">
        <v>36.1</v>
      </c>
      <c r="V85">
        <v>15.1</v>
      </c>
      <c r="W85">
        <v>2</v>
      </c>
      <c r="X85">
        <v>0.4</v>
      </c>
      <c r="Y85">
        <f t="shared" si="4"/>
        <v>100</v>
      </c>
    </row>
    <row r="86" spans="19:25">
      <c r="S86">
        <v>14.5</v>
      </c>
      <c r="T86">
        <v>51</v>
      </c>
      <c r="U86">
        <v>20.7</v>
      </c>
      <c r="V86">
        <v>9.5</v>
      </c>
      <c r="W86">
        <v>1.9</v>
      </c>
      <c r="X86">
        <v>2.4</v>
      </c>
      <c r="Y86">
        <f t="shared" si="4"/>
        <v>100.00000000000001</v>
      </c>
    </row>
    <row r="87" spans="19:25">
      <c r="S87">
        <v>4.3</v>
      </c>
      <c r="T87">
        <v>21.7</v>
      </c>
      <c r="U87">
        <v>61</v>
      </c>
      <c r="V87">
        <v>8.6999999999999993</v>
      </c>
      <c r="W87">
        <v>4.3</v>
      </c>
      <c r="Y87">
        <f t="shared" si="4"/>
        <v>100</v>
      </c>
    </row>
    <row r="88" spans="19:25">
      <c r="S88">
        <v>0</v>
      </c>
      <c r="T88">
        <v>9.1</v>
      </c>
      <c r="U88">
        <v>77.3</v>
      </c>
      <c r="V88">
        <v>9.1</v>
      </c>
      <c r="W88">
        <v>4.5</v>
      </c>
      <c r="Y88">
        <f t="shared" si="4"/>
        <v>99.999999999999986</v>
      </c>
    </row>
    <row r="89" spans="19:25">
      <c r="S89">
        <v>1.2</v>
      </c>
      <c r="T89">
        <v>9.8000000000000007</v>
      </c>
      <c r="U89">
        <v>46.2</v>
      </c>
      <c r="V89">
        <v>39.9</v>
      </c>
      <c r="W89">
        <v>1.7</v>
      </c>
      <c r="X89">
        <v>1.2</v>
      </c>
      <c r="Y89">
        <f t="shared" si="4"/>
        <v>100</v>
      </c>
    </row>
    <row r="90" spans="19:25">
      <c r="S90">
        <v>3.7</v>
      </c>
      <c r="T90">
        <v>7.4</v>
      </c>
      <c r="U90">
        <v>37</v>
      </c>
      <c r="V90">
        <v>48.2</v>
      </c>
      <c r="W90">
        <v>3.7</v>
      </c>
      <c r="Y90">
        <f t="shared" si="4"/>
        <v>100.00000000000001</v>
      </c>
    </row>
    <row r="91" spans="19:25">
      <c r="S91">
        <v>8.3000000000000007</v>
      </c>
      <c r="T91">
        <v>8.3000000000000007</v>
      </c>
      <c r="U91">
        <v>41.7</v>
      </c>
      <c r="V91">
        <v>41.7</v>
      </c>
      <c r="Y91">
        <f t="shared" si="4"/>
        <v>100</v>
      </c>
    </row>
    <row r="92" spans="19:25">
      <c r="S92">
        <v>2.2999999999999998</v>
      </c>
      <c r="T92">
        <v>40.9</v>
      </c>
      <c r="U92">
        <v>23.7</v>
      </c>
      <c r="V92">
        <v>10.7</v>
      </c>
      <c r="W92">
        <v>22.1</v>
      </c>
      <c r="X92">
        <v>0.3</v>
      </c>
      <c r="Y92">
        <f t="shared" si="4"/>
        <v>99.999999999999986</v>
      </c>
    </row>
    <row r="93" spans="19:25">
      <c r="S93">
        <v>7.6</v>
      </c>
      <c r="T93">
        <v>11</v>
      </c>
      <c r="U93">
        <v>45.5</v>
      </c>
      <c r="V93">
        <v>35.9</v>
      </c>
      <c r="Y93">
        <f t="shared" si="4"/>
        <v>100</v>
      </c>
    </row>
    <row r="94" spans="19:25">
      <c r="S94">
        <v>3.3</v>
      </c>
      <c r="T94">
        <v>18.3</v>
      </c>
      <c r="U94">
        <v>40</v>
      </c>
      <c r="V94">
        <v>25</v>
      </c>
      <c r="W94">
        <v>11.7</v>
      </c>
      <c r="X94">
        <v>1.7</v>
      </c>
      <c r="Y94">
        <f t="shared" si="4"/>
        <v>100</v>
      </c>
    </row>
    <row r="95" spans="19:25">
      <c r="S95">
        <v>2</v>
      </c>
      <c r="T95">
        <v>6</v>
      </c>
      <c r="U95">
        <v>52</v>
      </c>
      <c r="V95">
        <v>40</v>
      </c>
      <c r="Y95">
        <f t="shared" si="4"/>
        <v>100</v>
      </c>
    </row>
    <row r="96" spans="19:25">
      <c r="S96">
        <v>0.8</v>
      </c>
      <c r="T96">
        <v>6.3</v>
      </c>
      <c r="U96">
        <v>43.8</v>
      </c>
      <c r="V96">
        <v>47.5</v>
      </c>
      <c r="W96">
        <v>1.6</v>
      </c>
      <c r="Y96">
        <f t="shared" si="4"/>
        <v>100</v>
      </c>
    </row>
    <row r="97" spans="19:25">
      <c r="S97">
        <v>2.1</v>
      </c>
      <c r="T97">
        <v>11.5</v>
      </c>
      <c r="U97">
        <v>43.7</v>
      </c>
      <c r="V97">
        <v>38.5</v>
      </c>
      <c r="W97">
        <v>4.2</v>
      </c>
      <c r="Y97">
        <f t="shared" si="4"/>
        <v>100.00000000000001</v>
      </c>
    </row>
    <row r="98" spans="19:25">
      <c r="S98">
        <v>0</v>
      </c>
      <c r="T98">
        <v>1.9</v>
      </c>
      <c r="U98">
        <v>55.8</v>
      </c>
      <c r="V98">
        <v>42.3</v>
      </c>
      <c r="Y98">
        <f t="shared" si="4"/>
        <v>100</v>
      </c>
    </row>
    <row r="99" spans="19:25">
      <c r="S99">
        <v>2.9</v>
      </c>
      <c r="T99">
        <v>8.6</v>
      </c>
      <c r="U99">
        <v>54.2</v>
      </c>
      <c r="V99">
        <v>34.299999999999997</v>
      </c>
      <c r="Y99">
        <f t="shared" si="4"/>
        <v>100</v>
      </c>
    </row>
    <row r="100" spans="19:25">
      <c r="S100">
        <v>0</v>
      </c>
      <c r="U100">
        <v>54.5</v>
      </c>
      <c r="V100">
        <v>45.5</v>
      </c>
      <c r="Y100">
        <f t="shared" si="4"/>
        <v>100</v>
      </c>
    </row>
    <row r="101" spans="19:25">
      <c r="S101">
        <f t="shared" ref="S101:X101" si="5">SUM(S77:S100)</f>
        <v>108.3</v>
      </c>
      <c r="T101">
        <f t="shared" si="5"/>
        <v>485.1</v>
      </c>
      <c r="U101">
        <f t="shared" si="5"/>
        <v>1083.1000000000001</v>
      </c>
      <c r="V101">
        <f t="shared" si="5"/>
        <v>615.29999999999984</v>
      </c>
      <c r="W101">
        <f t="shared" si="5"/>
        <v>93.1</v>
      </c>
      <c r="X101">
        <f t="shared" si="5"/>
        <v>15.1</v>
      </c>
      <c r="Y101">
        <f>SUM(S101:X101)</f>
        <v>2399.9999999999995</v>
      </c>
    </row>
    <row r="102" spans="19:25">
      <c r="S102" s="38">
        <f t="shared" ref="S102:X102" si="6">S101/$Y$101</f>
        <v>4.5125000000000005E-2</v>
      </c>
      <c r="T102" s="38">
        <f t="shared" si="6"/>
        <v>0.20212500000000005</v>
      </c>
      <c r="U102" s="38">
        <f t="shared" si="6"/>
        <v>0.45129166666666681</v>
      </c>
      <c r="V102" s="38">
        <f t="shared" si="6"/>
        <v>0.25637499999999996</v>
      </c>
      <c r="W102" s="38">
        <f t="shared" si="6"/>
        <v>3.8791666666666669E-2</v>
      </c>
      <c r="X102" s="38">
        <f t="shared" si="6"/>
        <v>6.2916666666666676E-3</v>
      </c>
    </row>
  </sheetData>
  <hyperlinks>
    <hyperlink ref="M6" r:id="rId1" location=":~:text=Food's%20carbon%20footprint%2C%20or%20foodprint,48%20tons%20of%20greenhouse%20gases." display="https://www.greeneatz.com/foods-carbon-footprint.html#:~:text=Food's%20carbon%20footprint%2C%20or%20foodprint,48%20tons%20of%20greenhouse%20gases." xr:uid="{00000000-0004-0000-0800-000000000000}"/>
    <hyperlink ref="C33" r:id="rId2" xr:uid="{00000000-0004-0000-0800-000001000000}"/>
  </hyperlinks>
  <pageMargins left="0.7" right="0.7" top="0.75" bottom="0.75" header="0.3" footer="0.3"/>
  <pageSetup paperSize="9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D11:H36"/>
  <sheetViews>
    <sheetView workbookViewId="0">
      <selection activeCell="F39" sqref="F39"/>
    </sheetView>
  </sheetViews>
  <sheetFormatPr defaultColWidth="9.140625" defaultRowHeight="15"/>
  <cols>
    <col min="5" max="6" width="18" customWidth="1"/>
    <col min="7" max="7" width="33.28515625" customWidth="1"/>
  </cols>
  <sheetData>
    <row r="11" spans="5:7">
      <c r="E11" s="1" t="s">
        <v>145</v>
      </c>
      <c r="F11" s="1" t="s">
        <v>138</v>
      </c>
      <c r="G11" s="1" t="s">
        <v>198</v>
      </c>
    </row>
    <row r="12" spans="5:7">
      <c r="E12" s="137" t="s">
        <v>56</v>
      </c>
      <c r="F12" s="1" t="s">
        <v>139</v>
      </c>
      <c r="G12" s="22">
        <v>148306.44769</v>
      </c>
    </row>
    <row r="13" spans="5:7">
      <c r="E13" s="135"/>
      <c r="F13" s="1" t="s">
        <v>140</v>
      </c>
      <c r="G13" s="22">
        <v>37513.492660000004</v>
      </c>
    </row>
    <row r="14" spans="5:7">
      <c r="E14" s="135"/>
      <c r="F14" s="1" t="s">
        <v>12</v>
      </c>
      <c r="G14" s="22">
        <v>45086.092110000005</v>
      </c>
    </row>
    <row r="15" spans="5:7">
      <c r="E15" s="136"/>
      <c r="F15" s="1" t="s">
        <v>146</v>
      </c>
      <c r="G15" s="22">
        <v>27261.358019999996</v>
      </c>
    </row>
    <row r="16" spans="5:7">
      <c r="E16" s="137" t="s">
        <v>57</v>
      </c>
      <c r="F16" s="1" t="s">
        <v>139</v>
      </c>
      <c r="G16" s="22">
        <v>103607.36954999999</v>
      </c>
    </row>
    <row r="17" spans="5:8">
      <c r="E17" s="135"/>
      <c r="F17" s="1" t="s">
        <v>140</v>
      </c>
      <c r="G17" s="22">
        <v>26207.048699999999</v>
      </c>
    </row>
    <row r="18" spans="5:8">
      <c r="E18" s="135"/>
      <c r="F18" s="1" t="s">
        <v>12</v>
      </c>
      <c r="G18" s="22">
        <v>31497.291450000001</v>
      </c>
    </row>
    <row r="19" spans="5:8">
      <c r="E19" s="136"/>
      <c r="F19" s="1" t="s">
        <v>146</v>
      </c>
      <c r="G19" s="22">
        <v>19044.873899999999</v>
      </c>
    </row>
    <row r="20" spans="5:8">
      <c r="E20" s="137" t="s">
        <v>55</v>
      </c>
      <c r="F20" s="1" t="s">
        <v>139</v>
      </c>
      <c r="G20" s="22">
        <v>289573.47271</v>
      </c>
    </row>
    <row r="21" spans="5:8">
      <c r="E21" s="135"/>
      <c r="F21" s="1" t="s">
        <v>140</v>
      </c>
      <c r="G21" s="22">
        <v>73246.392939999991</v>
      </c>
    </row>
    <row r="22" spans="5:8">
      <c r="E22" s="135"/>
      <c r="F22" s="1" t="s">
        <v>12</v>
      </c>
      <c r="G22" s="22">
        <v>88032.15548999999</v>
      </c>
    </row>
    <row r="23" spans="5:8">
      <c r="E23" s="136"/>
      <c r="F23" s="1" t="s">
        <v>146</v>
      </c>
      <c r="G23" s="22">
        <v>53228.745179999991</v>
      </c>
    </row>
    <row r="24" spans="5:8">
      <c r="E24" s="137" t="s">
        <v>194</v>
      </c>
      <c r="F24" s="1" t="s">
        <v>139</v>
      </c>
      <c r="G24" s="22">
        <v>215789.48887999999</v>
      </c>
    </row>
    <row r="25" spans="5:8">
      <c r="E25" s="135"/>
      <c r="F25" s="1" t="s">
        <v>140</v>
      </c>
      <c r="G25" s="22">
        <v>54583.044319999994</v>
      </c>
    </row>
    <row r="26" spans="5:8">
      <c r="E26" s="135"/>
      <c r="F26" s="1" t="s">
        <v>12</v>
      </c>
      <c r="G26" s="22">
        <v>65601.360719999997</v>
      </c>
    </row>
    <row r="27" spans="5:8">
      <c r="E27" s="136"/>
      <c r="F27" s="1" t="s">
        <v>146</v>
      </c>
      <c r="G27" s="22">
        <v>39665.939039999997</v>
      </c>
    </row>
    <row r="30" spans="5:8">
      <c r="E30" t="s">
        <v>284</v>
      </c>
    </row>
    <row r="32" spans="5:8">
      <c r="E32" t="s">
        <v>285</v>
      </c>
      <c r="F32" t="s">
        <v>287</v>
      </c>
      <c r="G32" t="s">
        <v>288</v>
      </c>
      <c r="H32" t="s">
        <v>289</v>
      </c>
    </row>
    <row r="33" spans="4:8">
      <c r="D33" t="s">
        <v>290</v>
      </c>
      <c r="E33">
        <v>80</v>
      </c>
      <c r="F33">
        <v>925</v>
      </c>
      <c r="G33">
        <v>6361</v>
      </c>
      <c r="H33" s="49">
        <v>118.24236148033576</v>
      </c>
    </row>
    <row r="34" spans="4:8">
      <c r="D34" t="s">
        <v>9</v>
      </c>
      <c r="E34">
        <v>52</v>
      </c>
      <c r="F34">
        <v>148</v>
      </c>
      <c r="G34">
        <v>487</v>
      </c>
      <c r="H34" s="49">
        <v>11.331185314276597</v>
      </c>
    </row>
    <row r="35" spans="4:8">
      <c r="D35" t="s">
        <v>286</v>
      </c>
      <c r="E35">
        <v>56</v>
      </c>
      <c r="F35">
        <v>91</v>
      </c>
      <c r="G35">
        <v>205</v>
      </c>
      <c r="H35" s="49">
        <v>10.310184088762872</v>
      </c>
    </row>
    <row r="36" spans="4:8">
      <c r="E36">
        <f>SUM(E33:E35)</f>
        <v>188</v>
      </c>
      <c r="F36">
        <f>SUM(F33:F35)</f>
        <v>1164</v>
      </c>
      <c r="G36">
        <f>SUM(G33:G35)</f>
        <v>7053</v>
      </c>
      <c r="H36" s="49">
        <f>SUM(H33:H35)</f>
        <v>139.88373088337522</v>
      </c>
    </row>
  </sheetData>
  <mergeCells count="4">
    <mergeCell ref="E12:E15"/>
    <mergeCell ref="E16:E19"/>
    <mergeCell ref="E20:E23"/>
    <mergeCell ref="E24:E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showGridLines="0" zoomScale="115" zoomScaleNormal="115" workbookViewId="0">
      <selection activeCell="D10" sqref="D10"/>
    </sheetView>
  </sheetViews>
  <sheetFormatPr defaultColWidth="9.140625" defaultRowHeight="15"/>
  <cols>
    <col min="2" max="2" width="19.85546875" customWidth="1"/>
    <col min="3" max="3" width="25.85546875" customWidth="1"/>
    <col min="4" max="4" width="36.28515625" customWidth="1"/>
    <col min="5" max="5" width="109.28515625" customWidth="1"/>
  </cols>
  <sheetData>
    <row r="1" spans="1:5" s="130" customFormat="1" ht="28.5" customHeight="1">
      <c r="A1" s="130" t="s">
        <v>0</v>
      </c>
    </row>
    <row r="4" spans="1:5">
      <c r="B4" t="s">
        <v>1</v>
      </c>
    </row>
    <row r="5" spans="1:5">
      <c r="B5" s="1" t="s">
        <v>2</v>
      </c>
      <c r="C5" s="1"/>
      <c r="D5" s="1" t="s">
        <v>17</v>
      </c>
      <c r="E5" s="1" t="s">
        <v>8</v>
      </c>
    </row>
    <row r="6" spans="1:5">
      <c r="B6" s="131" t="s">
        <v>3</v>
      </c>
      <c r="C6" s="1" t="s">
        <v>4</v>
      </c>
      <c r="D6" s="134" t="s">
        <v>18</v>
      </c>
      <c r="E6" s="1" t="s">
        <v>19</v>
      </c>
    </row>
    <row r="7" spans="1:5">
      <c r="B7" s="132"/>
      <c r="C7" s="1" t="s">
        <v>5</v>
      </c>
      <c r="D7" s="135"/>
      <c r="E7" s="1" t="s">
        <v>20</v>
      </c>
    </row>
    <row r="8" spans="1:5">
      <c r="B8" s="132"/>
      <c r="C8" s="1" t="s">
        <v>6</v>
      </c>
      <c r="D8" s="135"/>
      <c r="E8" s="1" t="s">
        <v>21</v>
      </c>
    </row>
    <row r="9" spans="1:5">
      <c r="B9" s="133"/>
      <c r="C9" s="1" t="s">
        <v>7</v>
      </c>
      <c r="D9" s="136"/>
      <c r="E9" s="1" t="s">
        <v>22</v>
      </c>
    </row>
    <row r="10" spans="1:5">
      <c r="B10" s="1" t="s">
        <v>9</v>
      </c>
      <c r="C10" s="1" t="s">
        <v>10</v>
      </c>
      <c r="D10" s="1" t="s">
        <v>427</v>
      </c>
      <c r="E10" s="137" t="s">
        <v>23</v>
      </c>
    </row>
    <row r="11" spans="1:5">
      <c r="B11" s="1"/>
      <c r="C11" s="1" t="s">
        <v>11</v>
      </c>
      <c r="D11" s="1"/>
      <c r="E11" s="135"/>
    </row>
    <row r="12" spans="1:5">
      <c r="B12" s="1"/>
      <c r="C12" s="1" t="s">
        <v>12</v>
      </c>
      <c r="D12" s="1"/>
      <c r="E12" s="135"/>
    </row>
    <row r="13" spans="1:5">
      <c r="B13" s="1"/>
      <c r="C13" s="1" t="s">
        <v>13</v>
      </c>
      <c r="D13" s="1"/>
      <c r="E13" s="135"/>
    </row>
    <row r="14" spans="1:5">
      <c r="B14" s="1"/>
      <c r="C14" s="1" t="s">
        <v>14</v>
      </c>
      <c r="D14" s="1"/>
      <c r="E14" s="135"/>
    </row>
    <row r="15" spans="1:5">
      <c r="B15" s="1"/>
      <c r="C15" s="1" t="s">
        <v>15</v>
      </c>
      <c r="D15" s="1"/>
      <c r="E15" s="136"/>
    </row>
    <row r="16" spans="1:5">
      <c r="B16" s="1" t="s">
        <v>16</v>
      </c>
      <c r="C16" s="1" t="s">
        <v>24</v>
      </c>
      <c r="D16" s="1"/>
      <c r="E16" s="1" t="s">
        <v>426</v>
      </c>
    </row>
  </sheetData>
  <mergeCells count="4">
    <mergeCell ref="A1:XFD1"/>
    <mergeCell ref="B6:B9"/>
    <mergeCell ref="D6:D9"/>
    <mergeCell ref="E10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6"/>
  <sheetViews>
    <sheetView showGridLines="0" zoomScale="85" zoomScaleNormal="85" workbookViewId="0">
      <selection activeCell="D19" sqref="D19"/>
    </sheetView>
  </sheetViews>
  <sheetFormatPr defaultColWidth="9.140625" defaultRowHeight="15"/>
  <cols>
    <col min="3" max="3" width="40.140625" customWidth="1"/>
    <col min="4" max="4" width="30.5703125" customWidth="1"/>
    <col min="5" max="5" width="12" bestFit="1" customWidth="1"/>
    <col min="6" max="6" width="12.5703125" customWidth="1"/>
    <col min="7" max="7" width="14.5703125" customWidth="1"/>
    <col min="8" max="8" width="18.28515625" customWidth="1"/>
  </cols>
  <sheetData>
    <row r="1" spans="1:21" s="130" customFormat="1" ht="28.5" customHeight="1">
      <c r="A1" s="130" t="s">
        <v>0</v>
      </c>
    </row>
    <row r="4" spans="1:21">
      <c r="C4" s="71" t="s">
        <v>443</v>
      </c>
      <c r="U4" t="s">
        <v>441</v>
      </c>
    </row>
    <row r="5" spans="1:21">
      <c r="C5" s="44" t="s">
        <v>294</v>
      </c>
      <c r="D5" s="44" t="s">
        <v>147</v>
      </c>
      <c r="K5" t="s">
        <v>439</v>
      </c>
    </row>
    <row r="6" spans="1:21">
      <c r="C6" s="45" t="s">
        <v>155</v>
      </c>
      <c r="D6" s="46">
        <f>D7+D8</f>
        <v>212424.17794320753</v>
      </c>
    </row>
    <row r="7" spans="1:21">
      <c r="C7" s="1" t="s">
        <v>156</v>
      </c>
      <c r="D7" s="18">
        <f>'Transporte aéreo'!Q27</f>
        <v>210333.59622994001</v>
      </c>
      <c r="E7" s="38"/>
    </row>
    <row r="8" spans="1:21">
      <c r="C8" s="1" t="s">
        <v>157</v>
      </c>
      <c r="D8" s="18">
        <f>'Transporte aéreo'!S47</f>
        <v>2090.5817132675229</v>
      </c>
    </row>
    <row r="9" spans="1:21">
      <c r="C9" s="45" t="s">
        <v>158</v>
      </c>
      <c r="D9" s="46">
        <f>D10+D11</f>
        <v>72592.414258962017</v>
      </c>
    </row>
    <row r="10" spans="1:21">
      <c r="C10" s="1" t="s">
        <v>202</v>
      </c>
      <c r="D10" s="18">
        <f>'Transporte terrestre'!R77+'Transporte terrestre'!R100+'Transporte terrestre'!O28+'Transporte terrestre'!O54+'Transporte terrestre'!P155</f>
        <v>63945.946835584022</v>
      </c>
    </row>
    <row r="11" spans="1:21">
      <c r="C11" s="1" t="s">
        <v>159</v>
      </c>
      <c r="D11" s="18">
        <f>'Transporte terrestre'!P124+'Transporte terrestre'!P150</f>
        <v>8646.4674233780006</v>
      </c>
    </row>
    <row r="12" spans="1:21">
      <c r="C12" s="45" t="s">
        <v>203</v>
      </c>
      <c r="D12" s="46">
        <f>D13+D14</f>
        <v>27313.187790346001</v>
      </c>
    </row>
    <row r="13" spans="1:21">
      <c r="C13" s="1" t="s">
        <v>205</v>
      </c>
      <c r="D13" s="18">
        <f>EstadíaHC!I51</f>
        <v>6580.2226200000014</v>
      </c>
    </row>
    <row r="14" spans="1:21">
      <c r="C14" s="1" t="s">
        <v>204</v>
      </c>
      <c r="D14" s="18">
        <f>EstadíaHC!J76</f>
        <v>20732.965170346</v>
      </c>
    </row>
    <row r="15" spans="1:21">
      <c r="C15" s="45" t="s">
        <v>259</v>
      </c>
      <c r="D15" s="46">
        <f>D16</f>
        <v>24852.121500000001</v>
      </c>
    </row>
    <row r="16" spans="1:21">
      <c r="C16" s="1" t="s">
        <v>260</v>
      </c>
      <c r="D16" s="18">
        <f>EstadíaHC!K51</f>
        <v>24852.121500000001</v>
      </c>
    </row>
    <row r="17" spans="3:22">
      <c r="C17" s="45" t="s">
        <v>261</v>
      </c>
      <c r="D17" s="46">
        <f>D18</f>
        <v>825.67298816640016</v>
      </c>
    </row>
    <row r="18" spans="3:22">
      <c r="C18" s="1" t="s">
        <v>260</v>
      </c>
      <c r="D18" s="18">
        <f>EstadíaHC!F116</f>
        <v>825.67298816640016</v>
      </c>
    </row>
    <row r="19" spans="3:22" ht="15.75">
      <c r="C19" s="47" t="s">
        <v>206</v>
      </c>
      <c r="D19" s="48">
        <f>SUM(+D11+D10+D8+D7+D13+D14+D16+D18)</f>
        <v>338007.57448068203</v>
      </c>
      <c r="V19" t="s">
        <v>283</v>
      </c>
    </row>
    <row r="21" spans="3:22">
      <c r="C21" s="71" t="s">
        <v>434</v>
      </c>
    </row>
    <row r="22" spans="3:22">
      <c r="C22" s="44" t="s">
        <v>429</v>
      </c>
      <c r="D22" s="44" t="s">
        <v>147</v>
      </c>
    </row>
    <row r="23" spans="3:22">
      <c r="C23" s="45" t="s">
        <v>260</v>
      </c>
      <c r="D23" s="20">
        <f>D7+D11+D13+D16+D18</f>
        <v>251238.08076148442</v>
      </c>
    </row>
    <row r="24" spans="3:22">
      <c r="C24" s="45" t="s">
        <v>269</v>
      </c>
      <c r="D24" s="20">
        <f>D8+D10+D14</f>
        <v>86769.493719197548</v>
      </c>
    </row>
    <row r="25" spans="3:22">
      <c r="C25" s="45" t="s">
        <v>206</v>
      </c>
      <c r="D25" s="20">
        <f>SUM(D23:D24)</f>
        <v>338007.57448068197</v>
      </c>
    </row>
    <row r="26" spans="3:22">
      <c r="K26" t="s">
        <v>440</v>
      </c>
    </row>
    <row r="27" spans="3:22">
      <c r="C27" s="71" t="s">
        <v>435</v>
      </c>
    </row>
    <row r="28" spans="3:22">
      <c r="C28" s="44"/>
      <c r="D28" s="44" t="str">
        <f>C6</f>
        <v>Transporte aéreo</v>
      </c>
      <c r="E28" s="44" t="str">
        <f>C9</f>
        <v>Transporte terrestre</v>
      </c>
      <c r="F28" s="44" t="str">
        <f>C12</f>
        <v xml:space="preserve">Estadias </v>
      </c>
      <c r="G28" s="44" t="str">
        <f>C15</f>
        <v>Alimentación</v>
      </c>
      <c r="H28" s="44" t="str">
        <f>C17</f>
        <v>Residuos</v>
      </c>
    </row>
    <row r="29" spans="3:22">
      <c r="C29" s="45" t="s">
        <v>260</v>
      </c>
      <c r="D29" s="20">
        <f>D7</f>
        <v>210333.59622994001</v>
      </c>
      <c r="E29" s="20">
        <f>D11</f>
        <v>8646.4674233780006</v>
      </c>
      <c r="F29" s="20">
        <f>D13</f>
        <v>6580.2226200000014</v>
      </c>
      <c r="G29" s="20">
        <f>D16</f>
        <v>24852.121500000001</v>
      </c>
      <c r="H29" s="20">
        <f>D18</f>
        <v>825.67298816640016</v>
      </c>
    </row>
    <row r="30" spans="3:22">
      <c r="C30" s="45" t="s">
        <v>433</v>
      </c>
      <c r="D30" s="20">
        <f>D8</f>
        <v>2090.5817132675229</v>
      </c>
      <c r="E30" s="20">
        <f>D10</f>
        <v>63945.946835584022</v>
      </c>
      <c r="F30" s="20">
        <f>D14</f>
        <v>20732.965170346</v>
      </c>
      <c r="G30" s="20"/>
      <c r="H30" s="20"/>
    </row>
    <row r="31" spans="3:22" ht="16.5" customHeight="1">
      <c r="C31" s="45" t="s">
        <v>206</v>
      </c>
      <c r="D31" s="20">
        <f>SUM(D29:D30)</f>
        <v>212424.17794320753</v>
      </c>
      <c r="E31" s="20">
        <f>SUM(E29:E30)</f>
        <v>72592.414258962017</v>
      </c>
      <c r="F31" s="20">
        <f>SUM(F29:F30)</f>
        <v>27313.187790346001</v>
      </c>
      <c r="G31" s="20">
        <f>SUM(G29:G30)</f>
        <v>24852.121500000001</v>
      </c>
      <c r="H31" s="20">
        <f>SUM(H29:H30)</f>
        <v>825.67298816640016</v>
      </c>
    </row>
    <row r="32" spans="3:22" ht="34.5" customHeight="1"/>
    <row r="33" spans="3:11">
      <c r="C33" s="71" t="s">
        <v>436</v>
      </c>
    </row>
    <row r="34" spans="3:11">
      <c r="C34" s="83" t="s">
        <v>272</v>
      </c>
      <c r="D34" s="44" t="s">
        <v>155</v>
      </c>
      <c r="E34" s="44" t="s">
        <v>158</v>
      </c>
      <c r="F34" s="44" t="s">
        <v>203</v>
      </c>
      <c r="G34" s="44" t="s">
        <v>259</v>
      </c>
      <c r="H34" s="44" t="s">
        <v>261</v>
      </c>
    </row>
    <row r="35" spans="3:11">
      <c r="C35" s="45" t="s">
        <v>270</v>
      </c>
      <c r="D35" s="7">
        <f>D29/$D$31</f>
        <v>0.99015845685030057</v>
      </c>
      <c r="E35" s="7">
        <f>E29/$E$31</f>
        <v>0.11910979282949714</v>
      </c>
      <c r="F35" s="7">
        <f>F29/$F$31</f>
        <v>0.24091741581060772</v>
      </c>
      <c r="G35" s="7">
        <f>G29/$G$31</f>
        <v>1</v>
      </c>
      <c r="H35" s="7">
        <f>H29/$H$31</f>
        <v>1</v>
      </c>
    </row>
    <row r="36" spans="3:11">
      <c r="C36" s="45" t="s">
        <v>271</v>
      </c>
      <c r="D36" s="7">
        <f>D30/$D$31</f>
        <v>9.8415431496995057E-3</v>
      </c>
      <c r="E36" s="7">
        <f>E30/$E$31</f>
        <v>0.88089020717050293</v>
      </c>
      <c r="F36" s="7">
        <f>F30/$F$31</f>
        <v>0.75908258418939234</v>
      </c>
      <c r="G36" s="7">
        <f>G30/$G$31</f>
        <v>0</v>
      </c>
      <c r="H36" s="7">
        <f>H30/$H$31</f>
        <v>0</v>
      </c>
    </row>
    <row r="38" spans="3:11">
      <c r="C38" s="71" t="s">
        <v>428</v>
      </c>
    </row>
    <row r="39" spans="3:11" ht="29.25" customHeight="1">
      <c r="C39" s="44" t="s">
        <v>431</v>
      </c>
      <c r="D39" s="44" t="s">
        <v>432</v>
      </c>
      <c r="E39" s="44"/>
    </row>
    <row r="40" spans="3:11" ht="29.25" customHeight="1">
      <c r="C40" s="85" t="s">
        <v>268</v>
      </c>
      <c r="D40" s="63">
        <f>D19/0.3</f>
        <v>1126691.9149356068</v>
      </c>
      <c r="E40" s="1" t="s">
        <v>302</v>
      </c>
    </row>
    <row r="41" spans="3:11" ht="29.25" customHeight="1">
      <c r="C41" s="81" t="s">
        <v>430</v>
      </c>
      <c r="D41" s="20">
        <f>D19/451</f>
        <v>749.46247113233267</v>
      </c>
      <c r="E41" s="1" t="s">
        <v>301</v>
      </c>
    </row>
    <row r="43" spans="3:11">
      <c r="C43" s="71" t="s">
        <v>437</v>
      </c>
    </row>
    <row r="44" spans="3:11">
      <c r="C44" s="82" t="s">
        <v>293</v>
      </c>
      <c r="D44" s="82" t="s">
        <v>292</v>
      </c>
    </row>
    <row r="45" spans="3:11">
      <c r="C45" s="84" t="s">
        <v>289</v>
      </c>
      <c r="D45" s="20">
        <f>(D19-826)/'Transporte terrestre'!G3*1000</f>
        <v>139.88373088337522</v>
      </c>
    </row>
    <row r="46" spans="3:11">
      <c r="C46" s="84" t="s">
        <v>285</v>
      </c>
      <c r="D46" s="1">
        <f>258-70</f>
        <v>188</v>
      </c>
    </row>
    <row r="47" spans="3:11">
      <c r="C47" s="84" t="s">
        <v>287</v>
      </c>
      <c r="D47" s="1">
        <f>1221-58</f>
        <v>1163</v>
      </c>
    </row>
    <row r="48" spans="3:11">
      <c r="C48" s="84" t="s">
        <v>288</v>
      </c>
      <c r="D48" s="1">
        <f>7218-165</f>
        <v>7053</v>
      </c>
      <c r="K48" t="s">
        <v>442</v>
      </c>
    </row>
    <row r="49" spans="3:7" ht="35.25" customHeight="1">
      <c r="C49" s="138" t="s">
        <v>291</v>
      </c>
      <c r="D49" s="138"/>
      <c r="E49" s="138"/>
      <c r="F49" s="138"/>
      <c r="G49" s="138"/>
    </row>
    <row r="51" spans="3:7" hidden="1">
      <c r="C51" t="s">
        <v>304</v>
      </c>
      <c r="D51" s="25">
        <f>D6+D9+D12+D15</f>
        <v>337181.90149251552</v>
      </c>
    </row>
    <row r="53" spans="3:7">
      <c r="C53" s="71" t="s">
        <v>438</v>
      </c>
    </row>
    <row r="54" spans="3:7">
      <c r="C54" s="44" t="s">
        <v>294</v>
      </c>
      <c r="D54" s="44" t="s">
        <v>285</v>
      </c>
      <c r="E54" s="44" t="s">
        <v>287</v>
      </c>
      <c r="F54" s="44" t="s">
        <v>288</v>
      </c>
      <c r="G54" s="44" t="s">
        <v>289</v>
      </c>
    </row>
    <row r="55" spans="3:7">
      <c r="C55" s="1" t="s">
        <v>290</v>
      </c>
      <c r="D55" s="1">
        <v>80</v>
      </c>
      <c r="E55" s="1">
        <v>925</v>
      </c>
      <c r="F55" s="1">
        <v>6361</v>
      </c>
      <c r="G55" s="64">
        <f>(D6+D9)/D51*D45</f>
        <v>118.24236148033576</v>
      </c>
    </row>
    <row r="56" spans="3:7">
      <c r="C56" s="1" t="s">
        <v>9</v>
      </c>
      <c r="D56" s="1">
        <v>52</v>
      </c>
      <c r="E56" s="1">
        <v>148</v>
      </c>
      <c r="F56" s="1">
        <v>487</v>
      </c>
      <c r="G56" s="64">
        <f>D12/D51*D45</f>
        <v>11.331185314276597</v>
      </c>
    </row>
    <row r="57" spans="3:7">
      <c r="C57" s="1" t="s">
        <v>286</v>
      </c>
      <c r="D57" s="1">
        <v>56</v>
      </c>
      <c r="E57" s="1">
        <v>91</v>
      </c>
      <c r="F57" s="1">
        <v>205</v>
      </c>
      <c r="G57" s="64">
        <f>D15/D51*D45</f>
        <v>10.310184088762872</v>
      </c>
    </row>
    <row r="69" spans="3:5" hidden="1"/>
    <row r="70" spans="3:5" hidden="1"/>
    <row r="71" spans="3:5" hidden="1"/>
    <row r="72" spans="3:5" hidden="1"/>
    <row r="73" spans="3:5" hidden="1"/>
    <row r="74" spans="3:5" hidden="1"/>
    <row r="75" spans="3:5" hidden="1"/>
    <row r="76" spans="3:5" hidden="1">
      <c r="C76" t="s">
        <v>303</v>
      </c>
      <c r="E76">
        <v>8.82</v>
      </c>
    </row>
    <row r="77" spans="3:5" hidden="1">
      <c r="C77" t="s">
        <v>295</v>
      </c>
      <c r="E77" s="62">
        <f>E76/365*1000</f>
        <v>24.164383561643838</v>
      </c>
    </row>
    <row r="78" spans="3:5" hidden="1"/>
    <row r="79" spans="3:5" hidden="1">
      <c r="C79" t="s">
        <v>296</v>
      </c>
      <c r="E79" s="61">
        <f>2.5/365*1000</f>
        <v>6.8493150684931505</v>
      </c>
    </row>
    <row r="80" spans="3:5" hidden="1">
      <c r="C80" t="s">
        <v>297</v>
      </c>
    </row>
    <row r="81" spans="3:3" hidden="1"/>
    <row r="82" spans="3:3" hidden="1"/>
    <row r="83" spans="3:3" hidden="1">
      <c r="C83">
        <f>E79*0.69</f>
        <v>4.7260273972602738</v>
      </c>
    </row>
    <row r="84" spans="3:3" hidden="1">
      <c r="C84" s="62">
        <f>E77+C83</f>
        <v>28.890410958904113</v>
      </c>
    </row>
    <row r="85" spans="3:3" hidden="1">
      <c r="C85" t="s">
        <v>299</v>
      </c>
    </row>
    <row r="86" spans="3:3" hidden="1"/>
  </sheetData>
  <mergeCells count="2">
    <mergeCell ref="A1:XFD1"/>
    <mergeCell ref="C49:G4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B4:E17"/>
  <sheetViews>
    <sheetView workbookViewId="0">
      <selection activeCell="C27" sqref="C27"/>
    </sheetView>
  </sheetViews>
  <sheetFormatPr defaultColWidth="9.140625" defaultRowHeight="15"/>
  <cols>
    <col min="2" max="2" width="57.85546875" customWidth="1"/>
    <col min="3" max="3" width="95.85546875" customWidth="1"/>
    <col min="4" max="4" width="38.7109375" customWidth="1"/>
    <col min="5" max="5" width="27" customWidth="1"/>
    <col min="6" max="6" width="29" customWidth="1"/>
  </cols>
  <sheetData>
    <row r="4" spans="2:5">
      <c r="B4" s="1" t="s">
        <v>371</v>
      </c>
      <c r="C4" s="1" t="s">
        <v>372</v>
      </c>
    </row>
    <row r="5" spans="2:5">
      <c r="B5" s="1" t="s">
        <v>373</v>
      </c>
      <c r="C5" s="1" t="s">
        <v>374</v>
      </c>
    </row>
    <row r="7" spans="2:5">
      <c r="B7" s="70" t="s">
        <v>375</v>
      </c>
      <c r="C7" s="70" t="s">
        <v>376</v>
      </c>
      <c r="D7" s="70" t="s">
        <v>377</v>
      </c>
      <c r="E7" s="70" t="s">
        <v>378</v>
      </c>
    </row>
    <row r="8" spans="2:5" ht="39" customHeight="1">
      <c r="B8" s="70" t="s">
        <v>379</v>
      </c>
      <c r="C8" s="1" t="s">
        <v>380</v>
      </c>
      <c r="D8" s="16" t="s">
        <v>381</v>
      </c>
      <c r="E8" s="16" t="s">
        <v>382</v>
      </c>
    </row>
    <row r="9" spans="2:5" ht="53.25" customHeight="1">
      <c r="B9" s="70" t="s">
        <v>383</v>
      </c>
      <c r="C9" s="1" t="s">
        <v>384</v>
      </c>
      <c r="D9" s="16" t="s">
        <v>385</v>
      </c>
      <c r="E9" s="16" t="s">
        <v>386</v>
      </c>
    </row>
    <row r="10" spans="2:5" ht="66.75" customHeight="1">
      <c r="B10" s="70" t="s">
        <v>373</v>
      </c>
      <c r="C10" s="1" t="s">
        <v>387</v>
      </c>
      <c r="D10" s="16" t="s">
        <v>388</v>
      </c>
      <c r="E10" s="16" t="s">
        <v>389</v>
      </c>
    </row>
    <row r="13" spans="2:5">
      <c r="B13" s="71" t="s">
        <v>390</v>
      </c>
    </row>
    <row r="14" spans="2:5">
      <c r="B14" t="s">
        <v>391</v>
      </c>
    </row>
    <row r="15" spans="2:5">
      <c r="B15" t="s">
        <v>392</v>
      </c>
    </row>
    <row r="16" spans="2:5">
      <c r="B16" t="s">
        <v>393</v>
      </c>
    </row>
    <row r="17" spans="2:2">
      <c r="B17" t="s">
        <v>394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U38"/>
  <sheetViews>
    <sheetView showGridLines="0" workbookViewId="0">
      <selection activeCell="C14" sqref="C14"/>
    </sheetView>
  </sheetViews>
  <sheetFormatPr defaultColWidth="9.140625" defaultRowHeight="15"/>
  <cols>
    <col min="2" max="2" width="31.7109375" customWidth="1"/>
    <col min="3" max="3" width="22.85546875" customWidth="1"/>
    <col min="4" max="4" width="16.7109375" customWidth="1"/>
    <col min="10" max="10" width="11.140625" bestFit="1" customWidth="1"/>
    <col min="15" max="15" width="17.5703125" customWidth="1"/>
    <col min="16" max="16" width="26.85546875" customWidth="1"/>
    <col min="19" max="19" width="0" hidden="1" customWidth="1"/>
    <col min="20" max="20" width="19.28515625" hidden="1" customWidth="1"/>
    <col min="21" max="21" width="12.7109375" hidden="1" customWidth="1"/>
    <col min="22" max="25" width="0" hidden="1" customWidth="1"/>
  </cols>
  <sheetData>
    <row r="1" spans="1:21" s="130" customFormat="1" ht="28.5" customHeight="1">
      <c r="A1" s="130" t="s">
        <v>370</v>
      </c>
    </row>
    <row r="2" spans="1:21">
      <c r="T2" s="60">
        <v>474339589</v>
      </c>
      <c r="U2" s="60">
        <v>1798928824</v>
      </c>
    </row>
    <row r="3" spans="1:21">
      <c r="S3" t="s">
        <v>416</v>
      </c>
      <c r="T3" s="60">
        <v>208489287</v>
      </c>
    </row>
    <row r="4" spans="1:21">
      <c r="B4" s="71" t="s">
        <v>444</v>
      </c>
      <c r="G4" t="s">
        <v>445</v>
      </c>
      <c r="O4" t="s">
        <v>468</v>
      </c>
      <c r="S4" t="s">
        <v>417</v>
      </c>
      <c r="T4" s="38">
        <f>C12/T3</f>
        <v>8.588756980176146E-2</v>
      </c>
    </row>
    <row r="5" spans="1:21" ht="39" customHeight="1">
      <c r="B5" s="73" t="s">
        <v>398</v>
      </c>
      <c r="C5" s="73" t="s">
        <v>399</v>
      </c>
      <c r="D5" s="73" t="s">
        <v>120</v>
      </c>
      <c r="T5" s="38">
        <f>C12/T2</f>
        <v>3.7750671892857711E-2</v>
      </c>
    </row>
    <row r="6" spans="1:21">
      <c r="B6" s="10" t="s">
        <v>371</v>
      </c>
      <c r="C6" s="74">
        <f>C7+C8</f>
        <v>548368.65153197956</v>
      </c>
      <c r="D6" s="86">
        <f>C6/$C$12</f>
        <v>3.0623763417198854E-2</v>
      </c>
      <c r="T6" s="38">
        <f>C12/U2</f>
        <v>9.9540559644354099E-3</v>
      </c>
    </row>
    <row r="7" spans="1:21">
      <c r="B7" s="1" t="s">
        <v>395</v>
      </c>
      <c r="C7" s="5">
        <f>EstadíaHH!E15</f>
        <v>5039.2191000000003</v>
      </c>
      <c r="D7" s="23">
        <f>C7/C6</f>
        <v>9.1894733331708781E-3</v>
      </c>
    </row>
    <row r="8" spans="1:21">
      <c r="B8" s="1" t="s">
        <v>396</v>
      </c>
      <c r="C8" s="5">
        <f>EstadíaHH!G15</f>
        <v>543329.43243197957</v>
      </c>
      <c r="D8" s="23">
        <f>C8/C6</f>
        <v>0.99081052666682912</v>
      </c>
      <c r="S8" t="s">
        <v>289</v>
      </c>
      <c r="T8" s="78">
        <v>29000000000</v>
      </c>
    </row>
    <row r="9" spans="1:21">
      <c r="B9" s="10" t="s">
        <v>373</v>
      </c>
      <c r="C9" s="74">
        <f>C10+C11</f>
        <v>17358269.538599998</v>
      </c>
      <c r="D9" s="86">
        <f t="shared" ref="D9:D12" si="0">C9/$C$12</f>
        <v>0.96937623658280114</v>
      </c>
      <c r="T9" s="79"/>
    </row>
    <row r="10" spans="1:21">
      <c r="B10" s="1" t="s">
        <v>286</v>
      </c>
      <c r="C10" s="5">
        <f>EstadíaHH!AD15</f>
        <v>7819199.7692999989</v>
      </c>
      <c r="D10" s="7">
        <f>C10/$C$9</f>
        <v>0.45045963550181417</v>
      </c>
    </row>
    <row r="11" spans="1:21">
      <c r="B11" s="1" t="s">
        <v>397</v>
      </c>
      <c r="C11" s="5">
        <f>EstadíaHH!AJ15</f>
        <v>9539069.769299997</v>
      </c>
      <c r="D11" s="7">
        <f>C11/$C$9</f>
        <v>0.54954036449818577</v>
      </c>
    </row>
    <row r="12" spans="1:21">
      <c r="B12" s="70" t="s">
        <v>206</v>
      </c>
      <c r="C12" s="72">
        <f>C9+C6</f>
        <v>17906638.190131977</v>
      </c>
      <c r="D12" s="7">
        <f t="shared" si="0"/>
        <v>1</v>
      </c>
    </row>
    <row r="16" spans="1:21">
      <c r="B16" s="71" t="s">
        <v>411</v>
      </c>
    </row>
    <row r="17" spans="2:15">
      <c r="B17" s="73" t="s">
        <v>412</v>
      </c>
      <c r="C17" s="73" t="s">
        <v>413</v>
      </c>
    </row>
    <row r="18" spans="2:15">
      <c r="B18" s="87" t="str">
        <f>EstadíaHH!B13</f>
        <v>Trinidad</v>
      </c>
      <c r="C18" s="87">
        <f>EstadíaHH!G13</f>
        <v>3035.8574912280542</v>
      </c>
    </row>
    <row r="19" spans="2:15">
      <c r="B19" s="87" t="str">
        <f>EstadíaHH!B14</f>
        <v>Cobija</v>
      </c>
      <c r="C19" s="87">
        <f>EstadíaHH!G14</f>
        <v>3299.0479419579365</v>
      </c>
    </row>
    <row r="20" spans="2:15">
      <c r="B20" s="87" t="str">
        <f>EstadíaHH!B12</f>
        <v>Oruro</v>
      </c>
      <c r="C20" s="87">
        <f>EstadíaHH!G12</f>
        <v>9432.8640420019947</v>
      </c>
      <c r="G20" t="s">
        <v>446</v>
      </c>
      <c r="O20" t="s">
        <v>447</v>
      </c>
    </row>
    <row r="21" spans="2:15">
      <c r="B21" s="87" t="str">
        <f>EstadíaHH!B11</f>
        <v>Potosi</v>
      </c>
      <c r="C21" s="87">
        <f>EstadíaHH!G11</f>
        <v>12369.951184304453</v>
      </c>
    </row>
    <row r="22" spans="2:15">
      <c r="B22" s="87" t="str">
        <f>EstadíaHH!B9</f>
        <v>Sucre</v>
      </c>
      <c r="C22" s="87">
        <f>EstadíaHH!G9</f>
        <v>18746.380181585249</v>
      </c>
    </row>
    <row r="23" spans="2:15">
      <c r="B23" s="87" t="str">
        <f>EstadíaHH!B10</f>
        <v>Tarija</v>
      </c>
      <c r="C23" s="87">
        <f>EstadíaHH!G10</f>
        <v>36369.708368436608</v>
      </c>
    </row>
    <row r="24" spans="2:15">
      <c r="B24" s="87" t="str">
        <f>EstadíaHH!B7</f>
        <v>Cochabamba</v>
      </c>
      <c r="C24" s="87">
        <f>EstadíaHH!G7</f>
        <v>46496.169766838269</v>
      </c>
    </row>
    <row r="25" spans="2:15">
      <c r="B25" s="87" t="str">
        <f>EstadíaHH!B8</f>
        <v>Santa Cruz</v>
      </c>
      <c r="C25" s="87">
        <f>EstadíaHH!G8</f>
        <v>201424.5539398453</v>
      </c>
    </row>
    <row r="26" spans="2:15">
      <c r="B26" s="88" t="str">
        <f>EstadíaHH!B6</f>
        <v>La Paz</v>
      </c>
      <c r="C26" s="88">
        <f>EstadíaHH!G6</f>
        <v>212154.89951578164</v>
      </c>
    </row>
    <row r="30" spans="2:15">
      <c r="B30" t="s">
        <v>373</v>
      </c>
    </row>
    <row r="31" spans="2:15" ht="45">
      <c r="B31" s="89" t="s">
        <v>406</v>
      </c>
      <c r="C31" s="89" t="s">
        <v>409</v>
      </c>
      <c r="D31" s="89" t="s">
        <v>400</v>
      </c>
    </row>
    <row r="32" spans="2:15">
      <c r="B32" s="1" t="s">
        <v>323</v>
      </c>
      <c r="C32" s="1">
        <f>EstadíaHH!J6</f>
        <v>0.1</v>
      </c>
      <c r="D32" s="18">
        <f>EstadíaHH!L15</f>
        <v>2832281.9160000002</v>
      </c>
    </row>
    <row r="33" spans="2:15" ht="18" customHeight="1">
      <c r="B33" s="1" t="s">
        <v>325</v>
      </c>
      <c r="C33" s="1">
        <f>EstadíaHH!N6</f>
        <v>0.7</v>
      </c>
      <c r="D33" s="18">
        <f>EstadíaHH!P15</f>
        <v>3385994.0624999995</v>
      </c>
    </row>
    <row r="34" spans="2:15">
      <c r="B34" s="1" t="s">
        <v>407</v>
      </c>
      <c r="C34" s="1">
        <f>EstadíaHH!R6</f>
        <v>0.3</v>
      </c>
      <c r="D34" s="18">
        <f>EstadíaHH!T15</f>
        <v>1254559.1715000004</v>
      </c>
    </row>
    <row r="35" spans="2:15">
      <c r="B35" s="1" t="s">
        <v>327</v>
      </c>
      <c r="C35" s="1">
        <f>EstadíaHH!V6</f>
        <v>0.14000000000000001</v>
      </c>
      <c r="D35" s="18">
        <f>EstadíaHH!X15</f>
        <v>104619.69209999999</v>
      </c>
    </row>
    <row r="36" spans="2:15">
      <c r="B36" s="1" t="s">
        <v>358</v>
      </c>
      <c r="C36" s="1">
        <f>EstadíaHH!Z6</f>
        <v>0.32</v>
      </c>
      <c r="D36" s="18">
        <f>EstadíaHH!AB15</f>
        <v>241744.92719999998</v>
      </c>
    </row>
    <row r="37" spans="2:15">
      <c r="B37" s="1" t="s">
        <v>249</v>
      </c>
      <c r="C37" s="1">
        <f>EstadíaHH!AF6</f>
        <v>0.2</v>
      </c>
      <c r="D37" s="5">
        <f>EstadíaHH!AH15</f>
        <v>1719870</v>
      </c>
    </row>
    <row r="38" spans="2:15">
      <c r="B38" s="1" t="s">
        <v>206</v>
      </c>
      <c r="C38" s="1"/>
      <c r="D38" s="18">
        <f>SUM(D32:D37)</f>
        <v>9539069.7692999989</v>
      </c>
      <c r="G38" t="s">
        <v>448</v>
      </c>
      <c r="O38" t="s">
        <v>408</v>
      </c>
    </row>
  </sheetData>
  <mergeCells count="1">
    <mergeCell ref="A1:XFD1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3"/>
  <sheetViews>
    <sheetView showGridLines="0" zoomScale="70" zoomScaleNormal="70" workbookViewId="0">
      <selection activeCell="L68" sqref="L68"/>
    </sheetView>
  </sheetViews>
  <sheetFormatPr defaultColWidth="9.140625" defaultRowHeight="15"/>
  <cols>
    <col min="2" max="2" width="19.85546875" customWidth="1"/>
    <col min="3" max="3" width="25.85546875" customWidth="1"/>
    <col min="4" max="4" width="36.28515625" customWidth="1"/>
    <col min="5" max="5" width="33" customWidth="1"/>
    <col min="6" max="6" width="20.7109375" customWidth="1"/>
    <col min="7" max="7" width="23.140625" customWidth="1"/>
    <col min="8" max="8" width="24.85546875" customWidth="1"/>
    <col min="9" max="9" width="27.5703125" customWidth="1"/>
    <col min="10" max="10" width="11.5703125" bestFit="1" customWidth="1"/>
    <col min="11" max="11" width="17" customWidth="1"/>
    <col min="12" max="12" width="24" customWidth="1"/>
    <col min="14" max="14" width="10" bestFit="1" customWidth="1"/>
    <col min="15" max="15" width="13.28515625" bestFit="1" customWidth="1"/>
    <col min="16" max="16" width="14.28515625" customWidth="1"/>
    <col min="17" max="17" width="13.5703125" customWidth="1"/>
  </cols>
  <sheetData>
    <row r="1" spans="1:19" s="130" customFormat="1" ht="28.5" customHeight="1">
      <c r="A1" s="130" t="s">
        <v>93</v>
      </c>
    </row>
    <row r="4" spans="1:19">
      <c r="B4" s="71" t="s">
        <v>199</v>
      </c>
      <c r="K4" s="139" t="s">
        <v>51</v>
      </c>
      <c r="L4" s="139"/>
      <c r="M4" s="140"/>
      <c r="N4" s="92"/>
      <c r="O4" s="92" t="s">
        <v>86</v>
      </c>
      <c r="P4" s="92"/>
      <c r="Q4" s="92"/>
      <c r="R4" s="92" t="s">
        <v>87</v>
      </c>
      <c r="S4" s="92"/>
    </row>
    <row r="5" spans="1:19">
      <c r="B5" s="90" t="s">
        <v>34</v>
      </c>
      <c r="C5" s="90" t="s">
        <v>25</v>
      </c>
      <c r="D5" s="90" t="s">
        <v>188</v>
      </c>
      <c r="E5" s="90" t="s">
        <v>48</v>
      </c>
      <c r="F5" s="90" t="s">
        <v>184</v>
      </c>
      <c r="G5" s="90" t="s">
        <v>185</v>
      </c>
      <c r="H5" s="90" t="s">
        <v>186</v>
      </c>
      <c r="I5" s="90" t="s">
        <v>88</v>
      </c>
      <c r="J5" s="91" t="s">
        <v>178</v>
      </c>
      <c r="K5" s="90" t="s">
        <v>52</v>
      </c>
      <c r="L5" s="90" t="s">
        <v>53</v>
      </c>
      <c r="M5" s="90" t="s">
        <v>54</v>
      </c>
      <c r="N5" s="90" t="s">
        <v>52</v>
      </c>
      <c r="O5" s="90" t="s">
        <v>53</v>
      </c>
      <c r="P5" s="90" t="s">
        <v>54</v>
      </c>
      <c r="Q5" s="90" t="s">
        <v>52</v>
      </c>
      <c r="R5" s="90" t="s">
        <v>53</v>
      </c>
      <c r="S5" s="90" t="s">
        <v>54</v>
      </c>
    </row>
    <row r="6" spans="1:19">
      <c r="B6" s="131" t="s">
        <v>35</v>
      </c>
      <c r="C6" s="94" t="s">
        <v>26</v>
      </c>
      <c r="D6" s="5">
        <v>35735</v>
      </c>
      <c r="E6" s="1" t="s">
        <v>63</v>
      </c>
      <c r="F6" s="1">
        <v>2230</v>
      </c>
      <c r="G6" s="1">
        <v>1937</v>
      </c>
      <c r="H6" s="1">
        <v>2055</v>
      </c>
      <c r="I6" s="7">
        <v>1</v>
      </c>
      <c r="J6" s="3">
        <f>((F6*0.29)+(G6*0.65)+(H6*0.06))</f>
        <v>2029.05</v>
      </c>
      <c r="K6" s="1">
        <v>0.1042</v>
      </c>
      <c r="L6" s="1"/>
      <c r="M6" s="1"/>
      <c r="N6" s="1">
        <f>K6*$J6*$D6</f>
        <v>7555344.2023499999</v>
      </c>
      <c r="O6" s="1">
        <f t="shared" ref="O6:O26" si="0">L6*$J6*$D6</f>
        <v>0</v>
      </c>
      <c r="P6" s="1">
        <f t="shared" ref="P6:P26" si="1">M6*$J6*$D6</f>
        <v>0</v>
      </c>
      <c r="Q6" s="1">
        <f>N6/1000</f>
        <v>7555.3442023500002</v>
      </c>
      <c r="R6" s="1">
        <f>O6/1000</f>
        <v>0</v>
      </c>
      <c r="S6" s="1">
        <f>P6/1000</f>
        <v>0</v>
      </c>
    </row>
    <row r="7" spans="1:19">
      <c r="B7" s="132"/>
      <c r="C7" s="94" t="s">
        <v>27</v>
      </c>
      <c r="D7" s="5">
        <v>46102</v>
      </c>
      <c r="E7" s="1" t="s">
        <v>65</v>
      </c>
      <c r="F7" s="1">
        <v>2384</v>
      </c>
      <c r="G7" s="1">
        <v>1840</v>
      </c>
      <c r="H7" s="1">
        <v>2148</v>
      </c>
      <c r="I7" s="7">
        <v>1</v>
      </c>
      <c r="J7" s="3">
        <f t="shared" ref="J7:J26" si="2">((F7*0.29)+(G7*0.65)+(H7*0.06))</f>
        <v>2016.2399999999998</v>
      </c>
      <c r="K7" s="1">
        <v>0.1042</v>
      </c>
      <c r="L7" s="1"/>
      <c r="M7" s="1"/>
      <c r="N7" s="1">
        <f t="shared" ref="N7:N26" si="3">K7*$J7*$D7</f>
        <v>9685670.9732159991</v>
      </c>
      <c r="O7" s="1">
        <f t="shared" si="0"/>
        <v>0</v>
      </c>
      <c r="P7" s="1">
        <f t="shared" si="1"/>
        <v>0</v>
      </c>
      <c r="Q7" s="1">
        <f t="shared" ref="Q7:Q26" si="4">N7/1000</f>
        <v>9685.6709732159998</v>
      </c>
      <c r="R7" s="1">
        <f t="shared" ref="R7:R26" si="5">O7/1000</f>
        <v>0</v>
      </c>
      <c r="S7" s="1">
        <f t="shared" ref="S7:S26" si="6">P7/1000</f>
        <v>0</v>
      </c>
    </row>
    <row r="8" spans="1:19">
      <c r="B8" s="132"/>
      <c r="C8" s="94" t="s">
        <v>28</v>
      </c>
      <c r="D8" s="5">
        <v>19016</v>
      </c>
      <c r="E8" s="1" t="s">
        <v>66</v>
      </c>
      <c r="F8" s="1">
        <v>2423</v>
      </c>
      <c r="G8" s="1">
        <v>2739</v>
      </c>
      <c r="H8" s="1">
        <v>2586</v>
      </c>
      <c r="I8" s="7">
        <v>1</v>
      </c>
      <c r="J8" s="3">
        <f t="shared" si="2"/>
        <v>2638.18</v>
      </c>
      <c r="K8" s="1">
        <v>0.1042</v>
      </c>
      <c r="L8" s="1"/>
      <c r="M8" s="1"/>
      <c r="N8" s="1">
        <f t="shared" si="3"/>
        <v>5227467.1376959998</v>
      </c>
      <c r="O8" s="1">
        <f t="shared" si="0"/>
        <v>0</v>
      </c>
      <c r="P8" s="1">
        <f t="shared" si="1"/>
        <v>0</v>
      </c>
      <c r="Q8" s="1">
        <f t="shared" si="4"/>
        <v>5227.4671376959996</v>
      </c>
      <c r="R8" s="1">
        <f t="shared" si="5"/>
        <v>0</v>
      </c>
      <c r="S8" s="1">
        <f t="shared" si="6"/>
        <v>0</v>
      </c>
    </row>
    <row r="9" spans="1:19">
      <c r="B9" s="132"/>
      <c r="C9" s="94" t="s">
        <v>29</v>
      </c>
      <c r="D9" s="5">
        <v>21631</v>
      </c>
      <c r="E9" s="1" t="s">
        <v>67</v>
      </c>
      <c r="F9" s="1">
        <v>1893</v>
      </c>
      <c r="G9" s="1">
        <v>1906</v>
      </c>
      <c r="H9" s="1">
        <v>1832</v>
      </c>
      <c r="I9" s="7">
        <v>1</v>
      </c>
      <c r="J9" s="3">
        <f t="shared" si="2"/>
        <v>1897.79</v>
      </c>
      <c r="K9" s="1">
        <v>0.1042</v>
      </c>
      <c r="L9" s="1"/>
      <c r="M9" s="1"/>
      <c r="N9" s="1">
        <f t="shared" si="3"/>
        <v>4277524.1500580003</v>
      </c>
      <c r="O9" s="1">
        <f t="shared" si="0"/>
        <v>0</v>
      </c>
      <c r="P9" s="1">
        <f t="shared" si="1"/>
        <v>0</v>
      </c>
      <c r="Q9" s="1">
        <f t="shared" si="4"/>
        <v>4277.5241500580005</v>
      </c>
      <c r="R9" s="1">
        <f t="shared" si="5"/>
        <v>0</v>
      </c>
      <c r="S9" s="1">
        <f t="shared" si="6"/>
        <v>0</v>
      </c>
    </row>
    <row r="10" spans="1:19">
      <c r="B10" s="132"/>
      <c r="C10" s="94" t="s">
        <v>30</v>
      </c>
      <c r="D10" s="5">
        <v>11598</v>
      </c>
      <c r="E10" s="1" t="s">
        <v>68</v>
      </c>
      <c r="F10" s="1">
        <v>2131</v>
      </c>
      <c r="G10" s="1">
        <v>2561</v>
      </c>
      <c r="H10" s="1">
        <v>2336</v>
      </c>
      <c r="I10" s="7">
        <v>1</v>
      </c>
      <c r="J10" s="3">
        <f t="shared" si="2"/>
        <v>2422.8000000000002</v>
      </c>
      <c r="K10" s="1">
        <v>0.1042</v>
      </c>
      <c r="L10" s="1"/>
      <c r="M10" s="1"/>
      <c r="N10" s="1">
        <f t="shared" si="3"/>
        <v>2927981.9044800005</v>
      </c>
      <c r="O10" s="1">
        <f t="shared" si="0"/>
        <v>0</v>
      </c>
      <c r="P10" s="1">
        <f t="shared" si="1"/>
        <v>0</v>
      </c>
      <c r="Q10" s="1">
        <f t="shared" si="4"/>
        <v>2927.9819044800006</v>
      </c>
      <c r="R10" s="1">
        <f t="shared" si="5"/>
        <v>0</v>
      </c>
      <c r="S10" s="1">
        <f t="shared" si="6"/>
        <v>0</v>
      </c>
    </row>
    <row r="11" spans="1:19">
      <c r="B11" s="132"/>
      <c r="C11" s="94" t="s">
        <v>31</v>
      </c>
      <c r="D11" s="5">
        <v>4926</v>
      </c>
      <c r="E11" s="1" t="s">
        <v>69</v>
      </c>
      <c r="F11" s="1">
        <v>1461</v>
      </c>
      <c r="G11" s="1">
        <v>1016</v>
      </c>
      <c r="H11" s="1">
        <v>1238</v>
      </c>
      <c r="I11" s="7">
        <v>1</v>
      </c>
      <c r="J11" s="3">
        <f t="shared" si="2"/>
        <v>1158.3699999999999</v>
      </c>
      <c r="K11" s="1">
        <v>0.1042</v>
      </c>
      <c r="L11" s="1"/>
      <c r="M11" s="1"/>
      <c r="N11" s="1">
        <f t="shared" si="3"/>
        <v>594578.810604</v>
      </c>
      <c r="O11" s="1">
        <f t="shared" si="0"/>
        <v>0</v>
      </c>
      <c r="P11" s="1">
        <f t="shared" si="1"/>
        <v>0</v>
      </c>
      <c r="Q11" s="1">
        <f t="shared" si="4"/>
        <v>594.57881060399995</v>
      </c>
      <c r="R11" s="1">
        <f t="shared" si="5"/>
        <v>0</v>
      </c>
      <c r="S11" s="1">
        <f t="shared" si="6"/>
        <v>0</v>
      </c>
    </row>
    <row r="12" spans="1:19">
      <c r="B12" s="132"/>
      <c r="C12" s="94" t="s">
        <v>32</v>
      </c>
      <c r="D12" s="5">
        <v>26691</v>
      </c>
      <c r="E12" s="1" t="s">
        <v>70</v>
      </c>
      <c r="F12" s="1">
        <v>1075</v>
      </c>
      <c r="G12" s="1">
        <v>1619</v>
      </c>
      <c r="H12" s="1">
        <v>1312</v>
      </c>
      <c r="I12" s="7">
        <v>1</v>
      </c>
      <c r="J12" s="3">
        <f t="shared" si="2"/>
        <v>1442.8200000000002</v>
      </c>
      <c r="K12" s="1">
        <v>0.1042</v>
      </c>
      <c r="L12" s="1"/>
      <c r="M12" s="1"/>
      <c r="N12" s="1">
        <f t="shared" si="3"/>
        <v>4012774.1582040004</v>
      </c>
      <c r="O12" s="1">
        <f t="shared" si="0"/>
        <v>0</v>
      </c>
      <c r="P12" s="1">
        <f t="shared" si="1"/>
        <v>0</v>
      </c>
      <c r="Q12" s="1">
        <f t="shared" si="4"/>
        <v>4012.7741582040003</v>
      </c>
      <c r="R12" s="1">
        <f t="shared" si="5"/>
        <v>0</v>
      </c>
      <c r="S12" s="1">
        <f t="shared" si="6"/>
        <v>0</v>
      </c>
    </row>
    <row r="13" spans="1:19">
      <c r="B13" s="133"/>
      <c r="C13" s="94" t="s">
        <v>33</v>
      </c>
      <c r="D13" s="5">
        <v>5744</v>
      </c>
      <c r="E13" s="1" t="s">
        <v>71</v>
      </c>
      <c r="F13" s="1">
        <v>2991</v>
      </c>
      <c r="G13" s="1">
        <v>3140</v>
      </c>
      <c r="H13" s="1">
        <v>3089</v>
      </c>
      <c r="I13" s="7">
        <v>1</v>
      </c>
      <c r="J13" s="3">
        <f t="shared" si="2"/>
        <v>3093.73</v>
      </c>
      <c r="K13" s="1">
        <v>0.1042</v>
      </c>
      <c r="L13" s="1"/>
      <c r="M13" s="1"/>
      <c r="N13" s="1">
        <f t="shared" si="3"/>
        <v>1851674.1295040001</v>
      </c>
      <c r="O13" s="1">
        <f t="shared" si="0"/>
        <v>0</v>
      </c>
      <c r="P13" s="1">
        <f t="shared" si="1"/>
        <v>0</v>
      </c>
      <c r="Q13" s="1">
        <f t="shared" si="4"/>
        <v>1851.6741295040001</v>
      </c>
      <c r="R13" s="1">
        <f t="shared" si="5"/>
        <v>0</v>
      </c>
      <c r="S13" s="1">
        <f t="shared" si="6"/>
        <v>0</v>
      </c>
    </row>
    <row r="14" spans="1:19">
      <c r="B14" s="4"/>
      <c r="C14" s="94" t="s">
        <v>179</v>
      </c>
      <c r="D14" s="5">
        <v>3893</v>
      </c>
      <c r="E14" s="1" t="s">
        <v>187</v>
      </c>
      <c r="F14" s="1">
        <v>4650</v>
      </c>
      <c r="G14" s="1">
        <v>4973</v>
      </c>
      <c r="H14" s="1">
        <v>4820</v>
      </c>
      <c r="I14" s="7">
        <v>1</v>
      </c>
      <c r="J14" s="3">
        <f t="shared" si="2"/>
        <v>4870.1500000000005</v>
      </c>
      <c r="K14" s="1">
        <v>0.1042</v>
      </c>
      <c r="L14" s="1"/>
      <c r="M14" s="1"/>
      <c r="N14" s="1">
        <f>K14*$J14*$D14</f>
        <v>1975579.2695900002</v>
      </c>
      <c r="O14" s="1">
        <f>L14*$J14*$D14</f>
        <v>0</v>
      </c>
      <c r="P14" s="1">
        <f>M14*$J14*$D14</f>
        <v>0</v>
      </c>
      <c r="Q14" s="1">
        <f>N14/1000</f>
        <v>1975.5792695900002</v>
      </c>
      <c r="R14" s="1">
        <f>O14/1000</f>
        <v>0</v>
      </c>
      <c r="S14" s="1">
        <f>P14/1000</f>
        <v>0</v>
      </c>
    </row>
    <row r="15" spans="1:19">
      <c r="B15" s="2" t="s">
        <v>37</v>
      </c>
      <c r="C15" s="94" t="s">
        <v>36</v>
      </c>
      <c r="D15" s="5">
        <v>9282</v>
      </c>
      <c r="E15" s="1" t="s">
        <v>72</v>
      </c>
      <c r="F15" s="1">
        <v>6639</v>
      </c>
      <c r="G15" s="1">
        <v>5685</v>
      </c>
      <c r="H15" s="1">
        <v>5442</v>
      </c>
      <c r="I15" s="7">
        <v>1</v>
      </c>
      <c r="J15" s="3">
        <f t="shared" si="2"/>
        <v>5947.08</v>
      </c>
      <c r="K15" s="1">
        <v>0.1042</v>
      </c>
      <c r="L15" s="1"/>
      <c r="M15" s="1"/>
      <c r="N15" s="1">
        <f t="shared" si="3"/>
        <v>5751923.0015520006</v>
      </c>
      <c r="O15" s="1">
        <f t="shared" si="0"/>
        <v>0</v>
      </c>
      <c r="P15" s="1">
        <f t="shared" si="1"/>
        <v>0</v>
      </c>
      <c r="Q15" s="1">
        <f t="shared" si="4"/>
        <v>5751.9230015520006</v>
      </c>
      <c r="R15" s="1">
        <f t="shared" si="5"/>
        <v>0</v>
      </c>
      <c r="S15" s="1">
        <f t="shared" si="6"/>
        <v>0</v>
      </c>
    </row>
    <row r="16" spans="1:19">
      <c r="B16" s="131" t="s">
        <v>38</v>
      </c>
      <c r="C16" s="94" t="s">
        <v>39</v>
      </c>
      <c r="D16" s="5">
        <v>47592</v>
      </c>
      <c r="E16" s="1" t="s">
        <v>74</v>
      </c>
      <c r="F16" s="1">
        <v>4854</v>
      </c>
      <c r="G16" s="1">
        <v>5145</v>
      </c>
      <c r="H16" s="1">
        <v>5013</v>
      </c>
      <c r="I16" s="7">
        <v>1</v>
      </c>
      <c r="J16" s="3">
        <f t="shared" si="2"/>
        <v>5052.6899999999996</v>
      </c>
      <c r="K16" s="1">
        <v>0.1042</v>
      </c>
      <c r="L16" s="1"/>
      <c r="M16" s="1"/>
      <c r="N16" s="1">
        <f t="shared" si="3"/>
        <v>25056726.262415998</v>
      </c>
      <c r="O16" s="1">
        <f t="shared" si="0"/>
        <v>0</v>
      </c>
      <c r="P16" s="1">
        <f t="shared" si="1"/>
        <v>0</v>
      </c>
      <c r="Q16" s="1">
        <f t="shared" si="4"/>
        <v>25056.726262415999</v>
      </c>
      <c r="R16" s="1">
        <f t="shared" si="5"/>
        <v>0</v>
      </c>
      <c r="S16" s="1">
        <f t="shared" si="6"/>
        <v>0</v>
      </c>
    </row>
    <row r="17" spans="2:21">
      <c r="B17" s="133"/>
      <c r="C17" s="94" t="s">
        <v>40</v>
      </c>
      <c r="D17" s="5">
        <v>7190</v>
      </c>
      <c r="E17" s="1" t="s">
        <v>75</v>
      </c>
      <c r="F17" s="1">
        <v>6759</v>
      </c>
      <c r="G17" s="1">
        <v>6987</v>
      </c>
      <c r="H17" s="1">
        <v>6895</v>
      </c>
      <c r="I17" s="7">
        <v>1</v>
      </c>
      <c r="J17" s="3">
        <f t="shared" si="2"/>
        <v>6915.36</v>
      </c>
      <c r="K17" s="1">
        <v>0.1042</v>
      </c>
      <c r="L17" s="1"/>
      <c r="M17" s="1"/>
      <c r="N17" s="1">
        <f t="shared" si="3"/>
        <v>5180973.8812800003</v>
      </c>
      <c r="O17" s="1">
        <f t="shared" si="0"/>
        <v>0</v>
      </c>
      <c r="P17" s="1">
        <f t="shared" si="1"/>
        <v>0</v>
      </c>
      <c r="Q17" s="1">
        <f t="shared" si="4"/>
        <v>5180.9738812800006</v>
      </c>
      <c r="R17" s="1">
        <f t="shared" si="5"/>
        <v>0</v>
      </c>
      <c r="S17" s="1">
        <f t="shared" si="6"/>
        <v>0</v>
      </c>
    </row>
    <row r="18" spans="2:21">
      <c r="B18" s="131" t="s">
        <v>45</v>
      </c>
      <c r="C18" s="94" t="s">
        <v>41</v>
      </c>
      <c r="D18" s="5">
        <v>12440</v>
      </c>
      <c r="E18" s="1" t="s">
        <v>189</v>
      </c>
      <c r="F18" s="1">
        <v>10496</v>
      </c>
      <c r="G18" s="1">
        <v>10261</v>
      </c>
      <c r="H18" s="1">
        <v>10440</v>
      </c>
      <c r="I18" s="7">
        <v>1</v>
      </c>
      <c r="J18" s="3">
        <f t="shared" si="2"/>
        <v>10339.89</v>
      </c>
      <c r="K18" s="1">
        <v>0.1042</v>
      </c>
      <c r="L18" s="1"/>
      <c r="M18" s="1"/>
      <c r="N18" s="1">
        <f t="shared" si="3"/>
        <v>13403061.732719999</v>
      </c>
      <c r="O18" s="1">
        <f t="shared" si="0"/>
        <v>0</v>
      </c>
      <c r="P18" s="1">
        <f t="shared" si="1"/>
        <v>0</v>
      </c>
      <c r="Q18" s="1">
        <f t="shared" si="4"/>
        <v>13403.061732719998</v>
      </c>
      <c r="R18" s="1">
        <f t="shared" si="5"/>
        <v>0</v>
      </c>
      <c r="S18" s="1">
        <f t="shared" si="6"/>
        <v>0</v>
      </c>
    </row>
    <row r="19" spans="2:21">
      <c r="B19" s="132"/>
      <c r="C19" s="94" t="s">
        <v>42</v>
      </c>
      <c r="D19" s="5">
        <v>33765</v>
      </c>
      <c r="E19" s="1" t="s">
        <v>76</v>
      </c>
      <c r="F19" s="1">
        <v>9164</v>
      </c>
      <c r="G19" s="1">
        <v>8889</v>
      </c>
      <c r="H19" s="1">
        <v>9089</v>
      </c>
      <c r="I19" s="7">
        <v>1</v>
      </c>
      <c r="J19" s="3">
        <f t="shared" si="2"/>
        <v>8980.75</v>
      </c>
      <c r="K19" s="1">
        <v>0.1042</v>
      </c>
      <c r="L19" s="1"/>
      <c r="M19" s="1"/>
      <c r="N19" s="1">
        <f t="shared" si="3"/>
        <v>31597089.474750001</v>
      </c>
      <c r="O19" s="1">
        <f t="shared" si="0"/>
        <v>0</v>
      </c>
      <c r="P19" s="1">
        <f t="shared" si="1"/>
        <v>0</v>
      </c>
      <c r="Q19" s="1">
        <f t="shared" si="4"/>
        <v>31597.089474750002</v>
      </c>
      <c r="R19" s="1">
        <f t="shared" si="5"/>
        <v>0</v>
      </c>
      <c r="S19" s="1">
        <f t="shared" si="6"/>
        <v>0</v>
      </c>
    </row>
    <row r="20" spans="2:21">
      <c r="B20" s="132"/>
      <c r="C20" s="94" t="s">
        <v>43</v>
      </c>
      <c r="D20" s="5">
        <v>11248</v>
      </c>
      <c r="E20" s="1" t="s">
        <v>77</v>
      </c>
      <c r="F20" s="1">
        <v>10019</v>
      </c>
      <c r="G20" s="1">
        <v>9788</v>
      </c>
      <c r="H20" s="1">
        <v>9965</v>
      </c>
      <c r="I20" s="7">
        <v>1</v>
      </c>
      <c r="J20" s="3">
        <f t="shared" si="2"/>
        <v>9865.6099999999988</v>
      </c>
      <c r="K20" s="1">
        <v>0.1042</v>
      </c>
      <c r="L20" s="1"/>
      <c r="M20" s="1"/>
      <c r="N20" s="1">
        <f t="shared" si="3"/>
        <v>11562905.329375997</v>
      </c>
      <c r="O20" s="1">
        <f t="shared" si="0"/>
        <v>0</v>
      </c>
      <c r="P20" s="1">
        <f t="shared" si="1"/>
        <v>0</v>
      </c>
      <c r="Q20" s="1">
        <f t="shared" si="4"/>
        <v>11562.905329375997</v>
      </c>
      <c r="R20" s="1">
        <f t="shared" si="5"/>
        <v>0</v>
      </c>
      <c r="S20" s="1">
        <f t="shared" si="6"/>
        <v>0</v>
      </c>
    </row>
    <row r="21" spans="2:21">
      <c r="B21" s="132"/>
      <c r="C21" s="94" t="s">
        <v>59</v>
      </c>
      <c r="D21" s="5">
        <v>6147</v>
      </c>
      <c r="E21" s="1" t="s">
        <v>78</v>
      </c>
      <c r="F21" s="1">
        <v>9990</v>
      </c>
      <c r="G21" s="1">
        <v>9787</v>
      </c>
      <c r="H21" s="1">
        <v>9949</v>
      </c>
      <c r="I21" s="7">
        <v>1</v>
      </c>
      <c r="J21" s="3">
        <f t="shared" si="2"/>
        <v>9855.59</v>
      </c>
      <c r="K21" s="1">
        <v>0.1042</v>
      </c>
      <c r="L21" s="1"/>
      <c r="M21" s="1"/>
      <c r="N21" s="1">
        <f t="shared" si="3"/>
        <v>6312676.8822659999</v>
      </c>
      <c r="O21" s="1">
        <f t="shared" si="0"/>
        <v>0</v>
      </c>
      <c r="P21" s="1">
        <f t="shared" si="1"/>
        <v>0</v>
      </c>
      <c r="Q21" s="1">
        <f t="shared" si="4"/>
        <v>6312.6768822659997</v>
      </c>
      <c r="R21" s="1">
        <f t="shared" si="5"/>
        <v>0</v>
      </c>
      <c r="S21" s="1">
        <f t="shared" si="6"/>
        <v>0</v>
      </c>
    </row>
    <row r="22" spans="2:21">
      <c r="B22" s="132"/>
      <c r="C22" s="94" t="s">
        <v>44</v>
      </c>
      <c r="D22" s="5">
        <v>7347</v>
      </c>
      <c r="E22" s="1" t="s">
        <v>79</v>
      </c>
      <c r="F22" s="1">
        <v>9679</v>
      </c>
      <c r="G22" s="1">
        <v>10165</v>
      </c>
      <c r="H22" s="1">
        <v>10383</v>
      </c>
      <c r="I22" s="7">
        <v>1</v>
      </c>
      <c r="J22" s="3">
        <f t="shared" si="2"/>
        <v>10037.14</v>
      </c>
      <c r="K22" s="1">
        <v>0.1042</v>
      </c>
      <c r="L22" s="1"/>
      <c r="M22" s="1"/>
      <c r="N22" s="1">
        <f t="shared" si="3"/>
        <v>7684006.8018359998</v>
      </c>
      <c r="O22" s="1">
        <f t="shared" si="0"/>
        <v>0</v>
      </c>
      <c r="P22" s="1">
        <f t="shared" si="1"/>
        <v>0</v>
      </c>
      <c r="Q22" s="1">
        <f t="shared" si="4"/>
        <v>7684.0068018359998</v>
      </c>
      <c r="R22" s="1">
        <f t="shared" si="5"/>
        <v>0</v>
      </c>
      <c r="S22" s="1">
        <f t="shared" si="6"/>
        <v>0</v>
      </c>
    </row>
    <row r="23" spans="2:21">
      <c r="B23" s="131" t="s">
        <v>46</v>
      </c>
      <c r="C23" s="94" t="s">
        <v>47</v>
      </c>
      <c r="D23" s="5">
        <v>9128</v>
      </c>
      <c r="E23" s="1" t="s">
        <v>80</v>
      </c>
      <c r="F23" s="1">
        <v>16532</v>
      </c>
      <c r="G23" s="1">
        <v>17002</v>
      </c>
      <c r="H23" s="1">
        <v>16757</v>
      </c>
      <c r="I23" s="7">
        <v>1</v>
      </c>
      <c r="J23" s="3">
        <f t="shared" si="2"/>
        <v>16851</v>
      </c>
      <c r="K23" s="1">
        <v>0.1042</v>
      </c>
      <c r="L23" s="1"/>
      <c r="M23" s="1"/>
      <c r="N23" s="1">
        <f t="shared" si="3"/>
        <v>16027619.6976</v>
      </c>
      <c r="O23" s="1">
        <f t="shared" si="0"/>
        <v>0</v>
      </c>
      <c r="P23" s="1">
        <f t="shared" si="1"/>
        <v>0</v>
      </c>
      <c r="Q23" s="1">
        <f t="shared" si="4"/>
        <v>16027.619697599999</v>
      </c>
      <c r="R23" s="1">
        <f t="shared" si="5"/>
        <v>0</v>
      </c>
      <c r="S23" s="1">
        <f t="shared" si="6"/>
        <v>0</v>
      </c>
    </row>
    <row r="24" spans="2:21">
      <c r="B24" s="132"/>
      <c r="C24" s="94" t="s">
        <v>60</v>
      </c>
      <c r="D24" s="5">
        <v>12386</v>
      </c>
      <c r="E24" s="1" t="s">
        <v>81</v>
      </c>
      <c r="F24" s="1">
        <v>17374</v>
      </c>
      <c r="G24" s="1">
        <v>17536</v>
      </c>
      <c r="H24" s="1">
        <v>17500</v>
      </c>
      <c r="I24" s="7">
        <v>1</v>
      </c>
      <c r="J24" s="3">
        <f t="shared" si="2"/>
        <v>17486.86</v>
      </c>
      <c r="K24" s="1">
        <v>0.1042</v>
      </c>
      <c r="L24" s="1"/>
      <c r="M24" s="1"/>
      <c r="N24" s="1">
        <f t="shared" si="3"/>
        <v>22568912.237432003</v>
      </c>
      <c r="O24" s="1">
        <f t="shared" si="0"/>
        <v>0</v>
      </c>
      <c r="P24" s="1">
        <f t="shared" si="1"/>
        <v>0</v>
      </c>
      <c r="Q24" s="1">
        <f t="shared" si="4"/>
        <v>22568.912237432003</v>
      </c>
      <c r="R24" s="1">
        <f t="shared" si="5"/>
        <v>0</v>
      </c>
      <c r="S24" s="1">
        <f t="shared" si="6"/>
        <v>0</v>
      </c>
    </row>
    <row r="25" spans="2:21">
      <c r="B25" s="132"/>
      <c r="C25" s="94" t="s">
        <v>61</v>
      </c>
      <c r="D25" s="5">
        <v>8425</v>
      </c>
      <c r="E25" s="1" t="s">
        <v>82</v>
      </c>
      <c r="F25" s="1">
        <v>17244</v>
      </c>
      <c r="G25" s="1">
        <v>17589</v>
      </c>
      <c r="H25" s="1">
        <v>17433</v>
      </c>
      <c r="I25" s="7">
        <v>1</v>
      </c>
      <c r="J25" s="3">
        <f t="shared" si="2"/>
        <v>17479.59</v>
      </c>
      <c r="K25" s="1">
        <v>0.1042</v>
      </c>
      <c r="L25" s="1"/>
      <c r="M25" s="1"/>
      <c r="N25" s="1">
        <f t="shared" si="3"/>
        <v>15345069.867149999</v>
      </c>
      <c r="O25" s="1">
        <f t="shared" si="0"/>
        <v>0</v>
      </c>
      <c r="P25" s="1">
        <f t="shared" si="1"/>
        <v>0</v>
      </c>
      <c r="Q25" s="1">
        <f t="shared" si="4"/>
        <v>15345.069867149999</v>
      </c>
      <c r="R25" s="1">
        <f t="shared" si="5"/>
        <v>0</v>
      </c>
      <c r="S25" s="1">
        <f t="shared" si="6"/>
        <v>0</v>
      </c>
    </row>
    <row r="26" spans="2:21">
      <c r="B26" s="1" t="s">
        <v>62</v>
      </c>
      <c r="C26" s="1"/>
      <c r="D26" s="93">
        <v>42685</v>
      </c>
      <c r="E26" s="1" t="s">
        <v>66</v>
      </c>
      <c r="F26" s="1">
        <v>2423</v>
      </c>
      <c r="G26" s="1">
        <v>2739</v>
      </c>
      <c r="H26" s="1">
        <v>2586</v>
      </c>
      <c r="I26" s="7">
        <v>1</v>
      </c>
      <c r="J26" s="3">
        <f t="shared" si="2"/>
        <v>2638.18</v>
      </c>
      <c r="K26" s="1">
        <v>0.1042</v>
      </c>
      <c r="L26" s="1"/>
      <c r="M26" s="1"/>
      <c r="N26" s="1">
        <f t="shared" si="3"/>
        <v>11734036.325859999</v>
      </c>
      <c r="O26" s="1">
        <f t="shared" si="0"/>
        <v>0</v>
      </c>
      <c r="P26" s="1">
        <f t="shared" si="1"/>
        <v>0</v>
      </c>
      <c r="Q26" s="1">
        <f t="shared" si="4"/>
        <v>11734.036325859999</v>
      </c>
      <c r="R26" s="1">
        <f t="shared" si="5"/>
        <v>0</v>
      </c>
      <c r="S26" s="1">
        <f t="shared" si="6"/>
        <v>0</v>
      </c>
    </row>
    <row r="27" spans="2:21">
      <c r="B27" t="s">
        <v>94</v>
      </c>
      <c r="Q27" s="6">
        <f>SUM(Q6:Q26)</f>
        <v>210333.59622994001</v>
      </c>
      <c r="R27" s="6">
        <f>SUM(R6:R26)</f>
        <v>0</v>
      </c>
      <c r="S27" s="6">
        <f>SUM(S6:S26)</f>
        <v>0</v>
      </c>
    </row>
    <row r="28" spans="2:21">
      <c r="Q28" s="9"/>
      <c r="R28" s="9"/>
      <c r="S28" s="9"/>
    </row>
    <row r="29" spans="2:21">
      <c r="B29" s="71" t="s">
        <v>90</v>
      </c>
    </row>
    <row r="30" spans="2:21" s="17" customFormat="1" ht="30" customHeight="1">
      <c r="B30" s="95" t="s">
        <v>188</v>
      </c>
      <c r="C30" s="95" t="s">
        <v>128</v>
      </c>
      <c r="D30" s="95" t="s">
        <v>129</v>
      </c>
      <c r="E30" s="95" t="s">
        <v>120</v>
      </c>
      <c r="F30" s="95" t="s">
        <v>130</v>
      </c>
      <c r="G30" s="95" t="s">
        <v>48</v>
      </c>
      <c r="H30" s="95" t="s">
        <v>49</v>
      </c>
      <c r="I30" s="95" t="s">
        <v>50</v>
      </c>
      <c r="J30" s="96" t="s">
        <v>88</v>
      </c>
      <c r="K30" s="95" t="s">
        <v>267</v>
      </c>
      <c r="L30" s="96" t="s">
        <v>89</v>
      </c>
      <c r="M30" s="95" t="s">
        <v>52</v>
      </c>
      <c r="N30" s="95" t="s">
        <v>53</v>
      </c>
      <c r="O30" s="95" t="s">
        <v>54</v>
      </c>
      <c r="P30" s="95" t="s">
        <v>52</v>
      </c>
      <c r="Q30" s="95" t="s">
        <v>53</v>
      </c>
      <c r="R30" s="95" t="s">
        <v>54</v>
      </c>
      <c r="S30" s="95" t="s">
        <v>52</v>
      </c>
      <c r="T30" s="95" t="s">
        <v>53</v>
      </c>
      <c r="U30" s="95" t="s">
        <v>54</v>
      </c>
    </row>
    <row r="31" spans="2:21">
      <c r="B31" s="141">
        <v>314869.15263329999</v>
      </c>
      <c r="C31" s="15" t="s">
        <v>56</v>
      </c>
      <c r="D31" s="15" t="s">
        <v>56</v>
      </c>
      <c r="E31" s="7">
        <v>0.64638390089999997</v>
      </c>
      <c r="F31" s="18">
        <f>E31*$B$31</f>
        <v>203526.35115218995</v>
      </c>
      <c r="G31" s="1" t="s">
        <v>73</v>
      </c>
      <c r="H31" s="1" t="s">
        <v>73</v>
      </c>
      <c r="I31" s="1">
        <v>0</v>
      </c>
      <c r="J31" s="42">
        <v>3.78E-2</v>
      </c>
      <c r="K31" s="31"/>
      <c r="L31" s="19">
        <f t="shared" ref="L31:L46" si="7">I31*J31*2*F31</f>
        <v>0</v>
      </c>
      <c r="M31" s="1">
        <v>0.1042</v>
      </c>
      <c r="N31" s="1"/>
      <c r="O31" s="1"/>
      <c r="P31" s="20">
        <f t="shared" ref="P31:P46" si="8">M31*$L31</f>
        <v>0</v>
      </c>
      <c r="Q31" s="20">
        <f t="shared" ref="Q31:Q46" si="9">N31*$L31</f>
        <v>0</v>
      </c>
      <c r="R31" s="20">
        <f t="shared" ref="R31:R46" si="10">O31*$L31</f>
        <v>0</v>
      </c>
      <c r="S31" s="1">
        <f>P31/1000</f>
        <v>0</v>
      </c>
      <c r="T31" s="1">
        <f>Q31/1000</f>
        <v>0</v>
      </c>
      <c r="U31" s="1">
        <f>R31/1000</f>
        <v>0</v>
      </c>
    </row>
    <row r="32" spans="2:21">
      <c r="B32" s="142"/>
      <c r="C32" s="15" t="s">
        <v>56</v>
      </c>
      <c r="D32" s="15" t="s">
        <v>57</v>
      </c>
      <c r="E32" s="7">
        <v>0.14984483000000001</v>
      </c>
      <c r="F32" s="18">
        <f>E32*$B$31</f>
        <v>47181.514648580895</v>
      </c>
      <c r="G32" s="1" t="s">
        <v>73</v>
      </c>
      <c r="H32" s="1" t="s">
        <v>92</v>
      </c>
      <c r="I32" s="1">
        <v>238</v>
      </c>
      <c r="J32" s="42">
        <v>3.78E-2</v>
      </c>
      <c r="K32" s="31">
        <f t="shared" ref="K32:K45" si="11">J32*F32</f>
        <v>1783.4612537163578</v>
      </c>
      <c r="L32" s="19">
        <f t="shared" si="7"/>
        <v>848927.55676898628</v>
      </c>
      <c r="M32" s="1">
        <v>0.1042</v>
      </c>
      <c r="N32" s="1"/>
      <c r="O32" s="1"/>
      <c r="P32" s="20">
        <f t="shared" si="8"/>
        <v>88458.25141532837</v>
      </c>
      <c r="Q32" s="20">
        <f t="shared" si="9"/>
        <v>0</v>
      </c>
      <c r="R32" s="20">
        <f t="shared" si="10"/>
        <v>0</v>
      </c>
      <c r="S32" s="22">
        <f t="shared" ref="S32:S46" si="12">P32/1000</f>
        <v>88.458251415328377</v>
      </c>
      <c r="T32" s="22">
        <f t="shared" ref="T32:T46" si="13">Q32/1000</f>
        <v>0</v>
      </c>
      <c r="U32" s="22">
        <f t="shared" ref="U32:U46" si="14">R32/1000</f>
        <v>0</v>
      </c>
    </row>
    <row r="33" spans="2:21">
      <c r="B33" s="142"/>
      <c r="C33" s="15" t="s">
        <v>56</v>
      </c>
      <c r="D33" s="15" t="s">
        <v>55</v>
      </c>
      <c r="E33" s="7">
        <v>7.08995969E-2</v>
      </c>
      <c r="F33" s="18">
        <f>E33*$B$31</f>
        <v>22324.095997945544</v>
      </c>
      <c r="G33" s="1" t="s">
        <v>73</v>
      </c>
      <c r="H33" s="1" t="s">
        <v>64</v>
      </c>
      <c r="I33" s="1">
        <v>553</v>
      </c>
      <c r="J33" s="42">
        <v>3.78E-2</v>
      </c>
      <c r="K33" s="31">
        <f t="shared" si="11"/>
        <v>843.85082872234159</v>
      </c>
      <c r="L33" s="19">
        <f t="shared" si="7"/>
        <v>933299.01656690985</v>
      </c>
      <c r="M33" s="1">
        <v>0.1042</v>
      </c>
      <c r="N33" s="1"/>
      <c r="O33" s="1"/>
      <c r="P33" s="20">
        <f t="shared" si="8"/>
        <v>97249.757526272006</v>
      </c>
      <c r="Q33" s="20">
        <f t="shared" si="9"/>
        <v>0</v>
      </c>
      <c r="R33" s="20">
        <f t="shared" si="10"/>
        <v>0</v>
      </c>
      <c r="S33" s="22">
        <f t="shared" si="12"/>
        <v>97.249757526272006</v>
      </c>
      <c r="T33" s="22">
        <f t="shared" si="13"/>
        <v>0</v>
      </c>
      <c r="U33" s="22">
        <f t="shared" si="14"/>
        <v>0</v>
      </c>
    </row>
    <row r="34" spans="2:21">
      <c r="B34" s="143"/>
      <c r="C34" s="15" t="s">
        <v>56</v>
      </c>
      <c r="D34" s="15" t="s">
        <v>91</v>
      </c>
      <c r="E34" s="7">
        <v>0.13287167220000001</v>
      </c>
      <c r="F34" s="18">
        <f>E34*$B$31</f>
        <v>41837.190834583605</v>
      </c>
      <c r="G34" s="1" t="s">
        <v>73</v>
      </c>
      <c r="H34" s="1" t="s">
        <v>131</v>
      </c>
      <c r="I34" s="1">
        <v>624</v>
      </c>
      <c r="J34" s="42">
        <v>3.78E-2</v>
      </c>
      <c r="K34" s="31">
        <f t="shared" si="11"/>
        <v>1581.4458135472603</v>
      </c>
      <c r="L34" s="19">
        <f t="shared" si="7"/>
        <v>1973644.3753069807</v>
      </c>
      <c r="M34" s="1">
        <v>0.1042</v>
      </c>
      <c r="N34" s="1"/>
      <c r="O34" s="1"/>
      <c r="P34" s="20">
        <f t="shared" si="8"/>
        <v>205653.74390698739</v>
      </c>
      <c r="Q34" s="20">
        <f t="shared" si="9"/>
        <v>0</v>
      </c>
      <c r="R34" s="20">
        <f t="shared" si="10"/>
        <v>0</v>
      </c>
      <c r="S34" s="22">
        <f t="shared" si="12"/>
        <v>205.65374390698739</v>
      </c>
      <c r="T34" s="22">
        <f t="shared" si="13"/>
        <v>0</v>
      </c>
      <c r="U34" s="22">
        <f t="shared" si="14"/>
        <v>0</v>
      </c>
    </row>
    <row r="35" spans="2:21">
      <c r="B35" s="141">
        <v>180683.2490865</v>
      </c>
      <c r="C35" s="15" t="s">
        <v>57</v>
      </c>
      <c r="D35" s="15" t="s">
        <v>56</v>
      </c>
      <c r="E35" s="7">
        <v>0.17824116470000001</v>
      </c>
      <c r="F35" s="18">
        <f>E35*$B$35</f>
        <v>32205.192758957972</v>
      </c>
      <c r="G35" s="1" t="s">
        <v>92</v>
      </c>
      <c r="H35" s="1" t="s">
        <v>73</v>
      </c>
      <c r="I35" s="1">
        <v>238</v>
      </c>
      <c r="J35" s="42">
        <v>3.78E-2</v>
      </c>
      <c r="K35" s="31">
        <f t="shared" si="11"/>
        <v>1217.3562862886113</v>
      </c>
      <c r="L35" s="19">
        <f t="shared" si="7"/>
        <v>579461.59227337898</v>
      </c>
      <c r="M35" s="1">
        <v>0.1042</v>
      </c>
      <c r="N35" s="1"/>
      <c r="O35" s="1"/>
      <c r="P35" s="20">
        <f t="shared" si="8"/>
        <v>60379.897914886089</v>
      </c>
      <c r="Q35" s="20">
        <f t="shared" si="9"/>
        <v>0</v>
      </c>
      <c r="R35" s="20">
        <f t="shared" si="10"/>
        <v>0</v>
      </c>
      <c r="S35" s="22">
        <f t="shared" si="12"/>
        <v>60.379897914886087</v>
      </c>
      <c r="T35" s="22">
        <f t="shared" si="13"/>
        <v>0</v>
      </c>
      <c r="U35" s="22">
        <f t="shared" si="14"/>
        <v>0</v>
      </c>
    </row>
    <row r="36" spans="2:21">
      <c r="B36" s="142"/>
      <c r="C36" s="15" t="s">
        <v>57</v>
      </c>
      <c r="D36" s="15" t="s">
        <v>57</v>
      </c>
      <c r="E36" s="7">
        <v>0.26391982310000001</v>
      </c>
      <c r="F36" s="18">
        <f>E36*$B$35</f>
        <v>47685.891136042315</v>
      </c>
      <c r="G36" s="1" t="s">
        <v>92</v>
      </c>
      <c r="H36" s="1" t="s">
        <v>92</v>
      </c>
      <c r="I36" s="1">
        <v>0</v>
      </c>
      <c r="J36" s="42">
        <v>3.78E-2</v>
      </c>
      <c r="K36" s="31"/>
      <c r="L36" s="19">
        <f t="shared" si="7"/>
        <v>0</v>
      </c>
      <c r="M36" s="1">
        <v>0.1042</v>
      </c>
      <c r="N36" s="1"/>
      <c r="O36" s="1"/>
      <c r="P36" s="20">
        <f t="shared" si="8"/>
        <v>0</v>
      </c>
      <c r="Q36" s="20">
        <f t="shared" si="9"/>
        <v>0</v>
      </c>
      <c r="R36" s="20">
        <f t="shared" si="10"/>
        <v>0</v>
      </c>
      <c r="S36" s="22">
        <f t="shared" si="12"/>
        <v>0</v>
      </c>
      <c r="T36" s="22">
        <f t="shared" si="13"/>
        <v>0</v>
      </c>
      <c r="U36" s="22">
        <f t="shared" si="14"/>
        <v>0</v>
      </c>
    </row>
    <row r="37" spans="2:21">
      <c r="B37" s="142"/>
      <c r="C37" s="15" t="s">
        <v>57</v>
      </c>
      <c r="D37" s="15" t="s">
        <v>55</v>
      </c>
      <c r="E37" s="7">
        <v>0.20428093260000002</v>
      </c>
      <c r="F37" s="18">
        <f>E37*$B$35</f>
        <v>36910.142628588321</v>
      </c>
      <c r="G37" s="1" t="s">
        <v>92</v>
      </c>
      <c r="H37" s="1" t="s">
        <v>64</v>
      </c>
      <c r="I37" s="1">
        <v>258</v>
      </c>
      <c r="J37" s="42">
        <v>3.78E-2</v>
      </c>
      <c r="K37" s="31">
        <f t="shared" si="11"/>
        <v>1395.2033913606385</v>
      </c>
      <c r="L37" s="19">
        <f t="shared" si="7"/>
        <v>719924.9499420895</v>
      </c>
      <c r="M37" s="1">
        <v>0.1042</v>
      </c>
      <c r="N37" s="1"/>
      <c r="O37" s="1"/>
      <c r="P37" s="20">
        <f t="shared" si="8"/>
        <v>75016.179783965723</v>
      </c>
      <c r="Q37" s="20">
        <f t="shared" si="9"/>
        <v>0</v>
      </c>
      <c r="R37" s="20">
        <f t="shared" si="10"/>
        <v>0</v>
      </c>
      <c r="S37" s="22">
        <f t="shared" si="12"/>
        <v>75.016179783965725</v>
      </c>
      <c r="T37" s="22">
        <f t="shared" si="13"/>
        <v>0</v>
      </c>
      <c r="U37" s="22">
        <f t="shared" si="14"/>
        <v>0</v>
      </c>
    </row>
    <row r="38" spans="2:21">
      <c r="B38" s="143"/>
      <c r="C38" s="15" t="s">
        <v>57</v>
      </c>
      <c r="D38" s="15" t="s">
        <v>91</v>
      </c>
      <c r="E38" s="7">
        <v>0.35355807960000002</v>
      </c>
      <c r="F38" s="18">
        <f>E38*$B$35</f>
        <v>63882.022562911399</v>
      </c>
      <c r="G38" s="1" t="s">
        <v>92</v>
      </c>
      <c r="H38" s="1" t="s">
        <v>131</v>
      </c>
      <c r="I38" s="1">
        <v>468</v>
      </c>
      <c r="J38" s="42">
        <v>3.78E-2</v>
      </c>
      <c r="K38" s="31">
        <f t="shared" si="11"/>
        <v>2414.7404528780507</v>
      </c>
      <c r="L38" s="19">
        <f t="shared" si="7"/>
        <v>2260197.0638938555</v>
      </c>
      <c r="M38" s="1">
        <v>0.1042</v>
      </c>
      <c r="N38" s="1"/>
      <c r="O38" s="1"/>
      <c r="P38" s="20">
        <f t="shared" si="8"/>
        <v>235512.53405773974</v>
      </c>
      <c r="Q38" s="20">
        <f t="shared" si="9"/>
        <v>0</v>
      </c>
      <c r="R38" s="20">
        <f t="shared" si="10"/>
        <v>0</v>
      </c>
      <c r="S38" s="22">
        <f t="shared" si="12"/>
        <v>235.51253405773974</v>
      </c>
      <c r="T38" s="22">
        <f t="shared" si="13"/>
        <v>0</v>
      </c>
      <c r="U38" s="22">
        <f t="shared" si="14"/>
        <v>0</v>
      </c>
    </row>
    <row r="39" spans="2:21">
      <c r="B39" s="141">
        <v>372906.87404561997</v>
      </c>
      <c r="C39" s="15" t="s">
        <v>55</v>
      </c>
      <c r="D39" s="15" t="s">
        <v>56</v>
      </c>
      <c r="E39" s="7">
        <v>0.10020447819999999</v>
      </c>
      <c r="F39" s="18">
        <f>E39*$B$39</f>
        <v>37366.938730934467</v>
      </c>
      <c r="G39" s="1" t="s">
        <v>64</v>
      </c>
      <c r="H39" s="1" t="s">
        <v>73</v>
      </c>
      <c r="I39" s="1">
        <v>553</v>
      </c>
      <c r="J39" s="42">
        <v>3.78E-2</v>
      </c>
      <c r="K39" s="31">
        <f t="shared" si="11"/>
        <v>1412.4702840293228</v>
      </c>
      <c r="L39" s="19">
        <f t="shared" si="7"/>
        <v>1562192.1341364312</v>
      </c>
      <c r="M39" s="1">
        <v>0.1042</v>
      </c>
      <c r="N39" s="1"/>
      <c r="O39" s="1"/>
      <c r="P39" s="20">
        <f t="shared" si="8"/>
        <v>162780.42037701613</v>
      </c>
      <c r="Q39" s="20">
        <f t="shared" si="9"/>
        <v>0</v>
      </c>
      <c r="R39" s="20">
        <f t="shared" si="10"/>
        <v>0</v>
      </c>
      <c r="S39" s="22">
        <f t="shared" si="12"/>
        <v>162.78042037701613</v>
      </c>
      <c r="T39" s="22">
        <f t="shared" si="13"/>
        <v>0</v>
      </c>
      <c r="U39" s="22">
        <f t="shared" si="14"/>
        <v>0</v>
      </c>
    </row>
    <row r="40" spans="2:21">
      <c r="B40" s="142"/>
      <c r="C40" s="15" t="s">
        <v>55</v>
      </c>
      <c r="D40" s="15" t="s">
        <v>57</v>
      </c>
      <c r="E40" s="7">
        <v>0.20175065810000001</v>
      </c>
      <c r="F40" s="18">
        <f>E40*$B$39</f>
        <v>75234.207248717648</v>
      </c>
      <c r="G40" s="1" t="s">
        <v>64</v>
      </c>
      <c r="H40" s="1" t="s">
        <v>92</v>
      </c>
      <c r="I40" s="1">
        <v>258</v>
      </c>
      <c r="J40" s="42">
        <v>3.78E-2</v>
      </c>
      <c r="K40" s="31">
        <f t="shared" si="11"/>
        <v>2843.8530340015272</v>
      </c>
      <c r="L40" s="19">
        <f t="shared" si="7"/>
        <v>1467428.1655447879</v>
      </c>
      <c r="M40" s="1">
        <v>0.1042</v>
      </c>
      <c r="N40" s="1"/>
      <c r="O40" s="1"/>
      <c r="P40" s="20">
        <f t="shared" si="8"/>
        <v>152906.01484976689</v>
      </c>
      <c r="Q40" s="20">
        <f t="shared" si="9"/>
        <v>0</v>
      </c>
      <c r="R40" s="20">
        <f t="shared" si="10"/>
        <v>0</v>
      </c>
      <c r="S40" s="22">
        <f t="shared" si="12"/>
        <v>152.90601484976688</v>
      </c>
      <c r="T40" s="22">
        <f t="shared" si="13"/>
        <v>0</v>
      </c>
      <c r="U40" s="22">
        <f t="shared" si="14"/>
        <v>0</v>
      </c>
    </row>
    <row r="41" spans="2:21">
      <c r="B41" s="142"/>
      <c r="C41" s="15" t="s">
        <v>55</v>
      </c>
      <c r="D41" s="15" t="s">
        <v>55</v>
      </c>
      <c r="E41" s="7">
        <v>0.46703453789999999</v>
      </c>
      <c r="F41" s="18">
        <f>E41*$B$39</f>
        <v>174160.38959962962</v>
      </c>
      <c r="G41" s="1" t="s">
        <v>64</v>
      </c>
      <c r="H41" s="1" t="s">
        <v>64</v>
      </c>
      <c r="I41" s="1">
        <v>0</v>
      </c>
      <c r="J41" s="42">
        <v>3.78E-2</v>
      </c>
      <c r="K41" s="31"/>
      <c r="L41" s="19">
        <f t="shared" si="7"/>
        <v>0</v>
      </c>
      <c r="M41" s="1">
        <v>0.1042</v>
      </c>
      <c r="N41" s="1"/>
      <c r="O41" s="1"/>
      <c r="P41" s="20">
        <f t="shared" si="8"/>
        <v>0</v>
      </c>
      <c r="Q41" s="20">
        <f t="shared" si="9"/>
        <v>0</v>
      </c>
      <c r="R41" s="20">
        <f t="shared" si="10"/>
        <v>0</v>
      </c>
      <c r="S41" s="22">
        <f t="shared" si="12"/>
        <v>0</v>
      </c>
      <c r="T41" s="22">
        <f t="shared" si="13"/>
        <v>0</v>
      </c>
      <c r="U41" s="22">
        <f t="shared" si="14"/>
        <v>0</v>
      </c>
    </row>
    <row r="42" spans="2:21">
      <c r="B42" s="143"/>
      <c r="C42" s="15" t="s">
        <v>55</v>
      </c>
      <c r="D42" s="15" t="s">
        <v>91</v>
      </c>
      <c r="E42" s="7">
        <v>0.23101032579999997</v>
      </c>
      <c r="F42" s="18">
        <f>E42*$B$39</f>
        <v>86145.338466338217</v>
      </c>
      <c r="G42" s="1" t="s">
        <v>64</v>
      </c>
      <c r="H42" s="1" t="s">
        <v>131</v>
      </c>
      <c r="I42" s="1">
        <v>624</v>
      </c>
      <c r="J42" s="42">
        <v>3.78E-2</v>
      </c>
      <c r="K42" s="31">
        <f t="shared" si="11"/>
        <v>3256.2937940275847</v>
      </c>
      <c r="L42" s="19">
        <f t="shared" si="7"/>
        <v>4063854.6549464255</v>
      </c>
      <c r="M42" s="1">
        <v>0.1042</v>
      </c>
      <c r="N42" s="1"/>
      <c r="O42" s="1"/>
      <c r="P42" s="20">
        <f t="shared" si="8"/>
        <v>423453.65504541754</v>
      </c>
      <c r="Q42" s="20">
        <f t="shared" si="9"/>
        <v>0</v>
      </c>
      <c r="R42" s="20">
        <f t="shared" si="10"/>
        <v>0</v>
      </c>
      <c r="S42" s="22">
        <f t="shared" si="12"/>
        <v>423.45365504541752</v>
      </c>
      <c r="T42" s="22">
        <f t="shared" si="13"/>
        <v>0</v>
      </c>
      <c r="U42" s="22">
        <f t="shared" si="14"/>
        <v>0</v>
      </c>
    </row>
    <row r="43" spans="2:21">
      <c r="B43" s="141">
        <v>302701.39855480002</v>
      </c>
      <c r="C43" s="15" t="s">
        <v>91</v>
      </c>
      <c r="D43" s="15" t="s">
        <v>56</v>
      </c>
      <c r="E43" s="7">
        <v>0.12867313029999999</v>
      </c>
      <c r="F43" s="18">
        <f>E43*$B$43</f>
        <v>38949.536498234011</v>
      </c>
      <c r="G43" s="1" t="s">
        <v>131</v>
      </c>
      <c r="H43" s="1" t="s">
        <v>73</v>
      </c>
      <c r="I43" s="1">
        <v>624</v>
      </c>
      <c r="J43" s="42">
        <v>3.78E-2</v>
      </c>
      <c r="K43" s="31">
        <f t="shared" si="11"/>
        <v>1472.2924796332456</v>
      </c>
      <c r="L43" s="19">
        <f t="shared" si="7"/>
        <v>1837421.0145822905</v>
      </c>
      <c r="M43" s="1">
        <v>0.1042</v>
      </c>
      <c r="N43" s="1"/>
      <c r="O43" s="1"/>
      <c r="P43" s="20">
        <f t="shared" si="8"/>
        <v>191459.26971947469</v>
      </c>
      <c r="Q43" s="20">
        <f t="shared" si="9"/>
        <v>0</v>
      </c>
      <c r="R43" s="20">
        <f t="shared" si="10"/>
        <v>0</v>
      </c>
      <c r="S43" s="22">
        <f t="shared" si="12"/>
        <v>191.45926971947469</v>
      </c>
      <c r="T43" s="22">
        <f t="shared" si="13"/>
        <v>0</v>
      </c>
      <c r="U43" s="22">
        <f t="shared" si="14"/>
        <v>0</v>
      </c>
    </row>
    <row r="44" spans="2:21">
      <c r="B44" s="142"/>
      <c r="C44" s="15" t="s">
        <v>91</v>
      </c>
      <c r="D44" s="15" t="s">
        <v>57</v>
      </c>
      <c r="E44" s="7">
        <v>0.15375113640000002</v>
      </c>
      <c r="F44" s="18">
        <f>E44*$B$43</f>
        <v>46540.684017669824</v>
      </c>
      <c r="G44" s="1" t="s">
        <v>131</v>
      </c>
      <c r="H44" s="1" t="s">
        <v>92</v>
      </c>
      <c r="I44" s="1">
        <v>468</v>
      </c>
      <c r="J44" s="42">
        <v>3.78E-2</v>
      </c>
      <c r="K44" s="31">
        <f t="shared" si="11"/>
        <v>1759.2378558679193</v>
      </c>
      <c r="L44" s="19">
        <f t="shared" si="7"/>
        <v>1646646.6330923724</v>
      </c>
      <c r="M44" s="1">
        <v>0.1042</v>
      </c>
      <c r="N44" s="1"/>
      <c r="O44" s="1"/>
      <c r="P44" s="20">
        <f t="shared" si="8"/>
        <v>171580.5791682252</v>
      </c>
      <c r="Q44" s="20">
        <f t="shared" si="9"/>
        <v>0</v>
      </c>
      <c r="R44" s="20">
        <f t="shared" si="10"/>
        <v>0</v>
      </c>
      <c r="S44" s="22">
        <f t="shared" si="12"/>
        <v>171.5805791682252</v>
      </c>
      <c r="T44" s="22">
        <f t="shared" si="13"/>
        <v>0</v>
      </c>
      <c r="U44" s="22">
        <f t="shared" si="14"/>
        <v>0</v>
      </c>
    </row>
    <row r="45" spans="2:21">
      <c r="B45" s="142"/>
      <c r="C45" s="15" t="s">
        <v>91</v>
      </c>
      <c r="D45" s="15" t="s">
        <v>55</v>
      </c>
      <c r="E45" s="7">
        <v>0.1519750721</v>
      </c>
      <c r="F45" s="18">
        <f>E45*$B$43</f>
        <v>46003.066870136565</v>
      </c>
      <c r="G45" s="1" t="s">
        <v>131</v>
      </c>
      <c r="H45" s="1" t="s">
        <v>64</v>
      </c>
      <c r="I45" s="1">
        <v>624</v>
      </c>
      <c r="J45" s="42">
        <v>3.78E-2</v>
      </c>
      <c r="K45" s="31">
        <f t="shared" si="11"/>
        <v>1738.9159276911621</v>
      </c>
      <c r="L45" s="19">
        <f t="shared" si="7"/>
        <v>2170167.0777585702</v>
      </c>
      <c r="M45" s="1">
        <v>0.1042</v>
      </c>
      <c r="N45" s="1"/>
      <c r="O45" s="1"/>
      <c r="P45" s="20">
        <f t="shared" si="8"/>
        <v>226131.40950244301</v>
      </c>
      <c r="Q45" s="20">
        <f t="shared" si="9"/>
        <v>0</v>
      </c>
      <c r="R45" s="20">
        <f t="shared" si="10"/>
        <v>0</v>
      </c>
      <c r="S45" s="22">
        <f t="shared" si="12"/>
        <v>226.13140950244301</v>
      </c>
      <c r="T45" s="22">
        <f t="shared" si="13"/>
        <v>0</v>
      </c>
      <c r="U45" s="22">
        <f t="shared" si="14"/>
        <v>0</v>
      </c>
    </row>
    <row r="46" spans="2:21">
      <c r="B46" s="143"/>
      <c r="C46" s="15" t="s">
        <v>91</v>
      </c>
      <c r="D46" s="15" t="s">
        <v>91</v>
      </c>
      <c r="E46" s="7">
        <v>0.56560066119999997</v>
      </c>
      <c r="F46" s="18">
        <f>E46*$B$43</f>
        <v>171208.11116875961</v>
      </c>
      <c r="G46" s="1" t="s">
        <v>131</v>
      </c>
      <c r="H46" s="1" t="s">
        <v>131</v>
      </c>
      <c r="I46" s="1">
        <v>0</v>
      </c>
      <c r="J46" s="42">
        <v>3.78E-2</v>
      </c>
      <c r="K46" s="31"/>
      <c r="L46" s="19">
        <f t="shared" si="7"/>
        <v>0</v>
      </c>
      <c r="M46" s="1">
        <v>0.1042</v>
      </c>
      <c r="N46" s="1"/>
      <c r="O46" s="1"/>
      <c r="P46" s="20">
        <f t="shared" si="8"/>
        <v>0</v>
      </c>
      <c r="Q46" s="20">
        <f t="shared" si="9"/>
        <v>0</v>
      </c>
      <c r="R46" s="20">
        <f t="shared" si="10"/>
        <v>0</v>
      </c>
      <c r="S46" s="22">
        <f t="shared" si="12"/>
        <v>0</v>
      </c>
      <c r="T46" s="22">
        <f t="shared" si="13"/>
        <v>0</v>
      </c>
      <c r="U46" s="22">
        <f t="shared" si="14"/>
        <v>0</v>
      </c>
    </row>
    <row r="47" spans="2:21">
      <c r="B47" s="60">
        <f>SUM(B31:B45)</f>
        <v>1171160.67432022</v>
      </c>
      <c r="I47" s="1"/>
      <c r="J47" s="3"/>
      <c r="K47" s="31">
        <f>I47*J47*2*F47</f>
        <v>0</v>
      </c>
      <c r="L47" s="1"/>
      <c r="M47" s="1"/>
      <c r="N47" s="1"/>
      <c r="O47" s="1"/>
      <c r="P47" s="1"/>
      <c r="Q47" s="1"/>
      <c r="S47" s="12">
        <f>SUM(S31:S46)</f>
        <v>2090.5817132675229</v>
      </c>
      <c r="T47" s="12">
        <f>SUM(T31:T46)</f>
        <v>0</v>
      </c>
      <c r="U47" s="12">
        <f>SUM(U31:U46)</f>
        <v>0</v>
      </c>
    </row>
    <row r="51" spans="3:15">
      <c r="C51" s="71" t="s">
        <v>449</v>
      </c>
    </row>
    <row r="52" spans="3:15">
      <c r="C52" s="50" t="s">
        <v>25</v>
      </c>
      <c r="D52" t="s">
        <v>147</v>
      </c>
      <c r="F52" s="71" t="s">
        <v>455</v>
      </c>
      <c r="K52" s="71" t="s">
        <v>450</v>
      </c>
      <c r="O52" s="71" t="s">
        <v>454</v>
      </c>
    </row>
    <row r="53" spans="3:15">
      <c r="C53" s="51" t="s">
        <v>31</v>
      </c>
      <c r="D53" s="49">
        <v>594.57881060399995</v>
      </c>
    </row>
    <row r="54" spans="3:15">
      <c r="C54" s="51" t="s">
        <v>33</v>
      </c>
      <c r="D54" s="49">
        <v>1851.6741295040001</v>
      </c>
      <c r="K54" s="90" t="s">
        <v>273</v>
      </c>
      <c r="L54" s="90" t="s">
        <v>147</v>
      </c>
      <c r="M54" s="90" t="s">
        <v>120</v>
      </c>
    </row>
    <row r="55" spans="3:15">
      <c r="C55" s="51" t="s">
        <v>179</v>
      </c>
      <c r="D55" s="49">
        <v>1975.5792695900002</v>
      </c>
      <c r="K55" s="53" t="s">
        <v>56</v>
      </c>
      <c r="L55" s="22">
        <f>S32+S33+S34</f>
        <v>391.3617528485878</v>
      </c>
      <c r="M55" s="7">
        <f>L55/$L$59</f>
        <v>0.18720232285821534</v>
      </c>
    </row>
    <row r="56" spans="3:15">
      <c r="C56" s="51" t="s">
        <v>30</v>
      </c>
      <c r="D56" s="49">
        <v>2927.9819044800006</v>
      </c>
      <c r="K56" s="53" t="s">
        <v>57</v>
      </c>
      <c r="L56" s="22">
        <f>S35+S37+S38</f>
        <v>370.90861175659154</v>
      </c>
      <c r="M56" s="7">
        <f t="shared" ref="M56:M58" si="15">L56/$L$59</f>
        <v>0.17741885399775709</v>
      </c>
    </row>
    <row r="57" spans="3:15">
      <c r="C57" s="51" t="s">
        <v>32</v>
      </c>
      <c r="D57" s="49">
        <v>4012.7741582040003</v>
      </c>
      <c r="K57" s="53" t="s">
        <v>55</v>
      </c>
      <c r="L57" s="22">
        <f>S39+S40+S42</f>
        <v>739.1400902722005</v>
      </c>
      <c r="M57" s="7">
        <f t="shared" si="15"/>
        <v>0.35355713942266548</v>
      </c>
    </row>
    <row r="58" spans="3:15">
      <c r="C58" s="51" t="s">
        <v>29</v>
      </c>
      <c r="D58" s="49">
        <v>4277.5241500580005</v>
      </c>
      <c r="K58" s="53" t="s">
        <v>91</v>
      </c>
      <c r="L58" s="22">
        <f>S43+S44+S45</f>
        <v>589.17125839014295</v>
      </c>
      <c r="M58" s="7">
        <f t="shared" si="15"/>
        <v>0.28182168372136202</v>
      </c>
    </row>
    <row r="59" spans="3:15">
      <c r="C59" s="51" t="s">
        <v>40</v>
      </c>
      <c r="D59" s="49">
        <v>5180.9738812800006</v>
      </c>
      <c r="K59" s="53" t="s">
        <v>206</v>
      </c>
      <c r="L59" s="22">
        <f>SUM(L55:L58)</f>
        <v>2090.5817132675229</v>
      </c>
      <c r="M59" s="1"/>
    </row>
    <row r="60" spans="3:15">
      <c r="C60" s="51" t="s">
        <v>28</v>
      </c>
      <c r="D60" s="49">
        <v>5227.4671376959996</v>
      </c>
    </row>
    <row r="61" spans="3:15">
      <c r="C61" s="51" t="s">
        <v>36</v>
      </c>
      <c r="D61" s="49">
        <v>5751.9230015520006</v>
      </c>
    </row>
    <row r="62" spans="3:15">
      <c r="C62" s="51" t="s">
        <v>59</v>
      </c>
      <c r="D62" s="49">
        <v>6312.6768822659997</v>
      </c>
    </row>
    <row r="63" spans="3:15">
      <c r="C63" s="51" t="s">
        <v>26</v>
      </c>
      <c r="D63" s="49">
        <v>7555.3442023500002</v>
      </c>
    </row>
    <row r="64" spans="3:15">
      <c r="C64" s="51" t="s">
        <v>44</v>
      </c>
      <c r="D64" s="49">
        <v>7684.0068018359998</v>
      </c>
    </row>
    <row r="65" spans="3:4">
      <c r="C65" s="51" t="s">
        <v>27</v>
      </c>
      <c r="D65" s="49">
        <v>9685.6709732159998</v>
      </c>
    </row>
    <row r="66" spans="3:4">
      <c r="C66" s="51" t="s">
        <v>43</v>
      </c>
      <c r="D66" s="49">
        <v>11562.905329375997</v>
      </c>
    </row>
    <row r="67" spans="3:4">
      <c r="C67" s="51" t="s">
        <v>62</v>
      </c>
      <c r="D67" s="49">
        <v>11734.036325859999</v>
      </c>
    </row>
    <row r="68" spans="3:4">
      <c r="C68" s="51" t="s">
        <v>41</v>
      </c>
      <c r="D68" s="49">
        <v>13403.061732719998</v>
      </c>
    </row>
    <row r="69" spans="3:4">
      <c r="C69" s="51" t="s">
        <v>61</v>
      </c>
      <c r="D69" s="49">
        <v>15345.069867149999</v>
      </c>
    </row>
    <row r="70" spans="3:4">
      <c r="C70" s="51" t="s">
        <v>47</v>
      </c>
      <c r="D70" s="49">
        <v>16027.619697599999</v>
      </c>
    </row>
    <row r="71" spans="3:4">
      <c r="C71" s="51" t="s">
        <v>60</v>
      </c>
      <c r="D71" s="49">
        <v>22568.912237432003</v>
      </c>
    </row>
    <row r="72" spans="3:4">
      <c r="C72" s="51" t="s">
        <v>39</v>
      </c>
      <c r="D72" s="49">
        <v>25056.726262415999</v>
      </c>
    </row>
    <row r="73" spans="3:4">
      <c r="C73" s="52" t="s">
        <v>42</v>
      </c>
      <c r="D73" s="49">
        <v>31597.089474750002</v>
      </c>
    </row>
  </sheetData>
  <mergeCells count="10">
    <mergeCell ref="B31:B34"/>
    <mergeCell ref="B35:B38"/>
    <mergeCell ref="B39:B42"/>
    <mergeCell ref="B43:B46"/>
    <mergeCell ref="B18:B22"/>
    <mergeCell ref="A1:XFD1"/>
    <mergeCell ref="B6:B13"/>
    <mergeCell ref="B16:B17"/>
    <mergeCell ref="B23:B25"/>
    <mergeCell ref="K4:M4"/>
  </mergeCell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65"/>
  <sheetViews>
    <sheetView showGridLines="0" topLeftCell="A141" zoomScale="70" zoomScaleNormal="70" workbookViewId="0">
      <selection activeCell="E173" sqref="E173"/>
    </sheetView>
  </sheetViews>
  <sheetFormatPr defaultColWidth="9.140625" defaultRowHeight="15"/>
  <cols>
    <col min="2" max="2" width="24.7109375" customWidth="1"/>
    <col min="3" max="3" width="23.7109375" customWidth="1"/>
    <col min="4" max="4" width="24.5703125" customWidth="1"/>
    <col min="5" max="5" width="40.85546875" customWidth="1"/>
    <col min="6" max="6" width="26.85546875" customWidth="1"/>
    <col min="7" max="7" width="30.42578125" customWidth="1"/>
    <col min="8" max="11" width="14.7109375" customWidth="1"/>
    <col min="12" max="12" width="15.5703125" customWidth="1"/>
    <col min="13" max="13" width="19.140625" customWidth="1"/>
    <col min="14" max="14" width="15.28515625" customWidth="1"/>
    <col min="15" max="17" width="14.7109375" customWidth="1"/>
  </cols>
  <sheetData>
    <row r="1" spans="1:20" s="14" customFormat="1" ht="28.5" customHeight="1">
      <c r="A1" s="14" t="s">
        <v>95</v>
      </c>
    </row>
    <row r="3" spans="1:20">
      <c r="F3" s="90" t="s">
        <v>127</v>
      </c>
      <c r="G3" s="27">
        <f>1239281+'Transporte aéreo'!B47</f>
        <v>2410441.67432022</v>
      </c>
    </row>
    <row r="4" spans="1:20">
      <c r="B4" s="71" t="s">
        <v>200</v>
      </c>
      <c r="I4" s="144" t="s">
        <v>124</v>
      </c>
      <c r="J4" s="145"/>
      <c r="K4" s="145"/>
      <c r="L4" s="144" t="s">
        <v>86</v>
      </c>
      <c r="M4" s="145"/>
      <c r="N4" s="145"/>
      <c r="O4" s="144" t="s">
        <v>87</v>
      </c>
      <c r="P4" s="145"/>
      <c r="Q4" s="145"/>
    </row>
    <row r="5" spans="1:20" ht="31.5" customHeight="1">
      <c r="B5" s="10" t="s">
        <v>150</v>
      </c>
      <c r="C5" s="10" t="s">
        <v>120</v>
      </c>
      <c r="D5" s="10" t="s">
        <v>122</v>
      </c>
      <c r="E5" s="13" t="s">
        <v>125</v>
      </c>
      <c r="F5" s="10" t="s">
        <v>123</v>
      </c>
      <c r="G5" s="13" t="s">
        <v>151</v>
      </c>
      <c r="H5" s="13" t="s">
        <v>126</v>
      </c>
      <c r="I5" s="95" t="s">
        <v>52</v>
      </c>
      <c r="J5" s="95" t="s">
        <v>53</v>
      </c>
      <c r="K5" s="95" t="s">
        <v>54</v>
      </c>
      <c r="L5" s="95" t="s">
        <v>52</v>
      </c>
      <c r="M5" s="95" t="s">
        <v>53</v>
      </c>
      <c r="N5" s="95" t="s">
        <v>54</v>
      </c>
      <c r="O5" s="95" t="s">
        <v>52</v>
      </c>
      <c r="P5" s="95" t="s">
        <v>53</v>
      </c>
      <c r="Q5" s="95" t="s">
        <v>54</v>
      </c>
    </row>
    <row r="6" spans="1:20">
      <c r="B6" s="1" t="s">
        <v>96</v>
      </c>
      <c r="C6" s="11">
        <v>8.7999999999999995E-2</v>
      </c>
      <c r="D6" s="1">
        <v>3</v>
      </c>
      <c r="E6" s="22">
        <f>$G$3*C6*0.7944</f>
        <v>168507.22821503846</v>
      </c>
      <c r="F6" s="1" t="s">
        <v>56</v>
      </c>
      <c r="G6" s="1">
        <v>340.2</v>
      </c>
      <c r="H6" s="1" t="s">
        <v>152</v>
      </c>
      <c r="I6" s="29">
        <v>0.03</v>
      </c>
      <c r="J6" s="29"/>
      <c r="K6" s="26"/>
      <c r="L6" s="18">
        <f>I6*$G6*$E6*2</f>
        <v>3439569.5423253649</v>
      </c>
      <c r="M6" s="18">
        <f>J6*$G6*$E6*2</f>
        <v>0</v>
      </c>
      <c r="N6" s="18">
        <f>K6*$G6*$E6*2</f>
        <v>0</v>
      </c>
      <c r="O6" s="20">
        <f>L6/1000</f>
        <v>3439.5695423253651</v>
      </c>
      <c r="P6" s="20">
        <f>M6/1000</f>
        <v>0</v>
      </c>
      <c r="Q6" s="20">
        <f>N6/1000</f>
        <v>0</v>
      </c>
      <c r="T6" s="49"/>
    </row>
    <row r="7" spans="1:20">
      <c r="B7" s="1" t="s">
        <v>97</v>
      </c>
      <c r="C7" s="11">
        <v>6.3E-2</v>
      </c>
      <c r="D7" s="1">
        <v>3</v>
      </c>
      <c r="E7" s="22">
        <f t="shared" ref="E7:E27" si="0">$G$3*C7*0.7944</f>
        <v>120635.85656303891</v>
      </c>
      <c r="F7" s="1" t="s">
        <v>56</v>
      </c>
      <c r="G7" s="1">
        <v>410</v>
      </c>
      <c r="H7" s="1" t="s">
        <v>152</v>
      </c>
      <c r="I7" s="29">
        <v>0.03</v>
      </c>
      <c r="J7" s="29"/>
      <c r="K7" s="26"/>
      <c r="L7" s="18">
        <f t="shared" ref="L7:L27" si="1">I7*$G7*$E7*2</f>
        <v>2967642.0714507569</v>
      </c>
      <c r="M7" s="18">
        <f t="shared" ref="M7:M27" si="2">J7*$G7*$E7*2</f>
        <v>0</v>
      </c>
      <c r="N7" s="18">
        <f t="shared" ref="N7:N27" si="3">K7*$G7*$E7*2</f>
        <v>0</v>
      </c>
      <c r="O7" s="20">
        <f t="shared" ref="O7:O27" si="4">L7/1000</f>
        <v>2967.6420714507567</v>
      </c>
      <c r="P7" s="20">
        <f t="shared" ref="P7:P27" si="5">M7/1000</f>
        <v>0</v>
      </c>
      <c r="Q7" s="20">
        <f t="shared" ref="Q7:Q27" si="6">N7/1000</f>
        <v>0</v>
      </c>
      <c r="T7" s="49"/>
    </row>
    <row r="8" spans="1:20">
      <c r="B8" s="1" t="s">
        <v>98</v>
      </c>
      <c r="C8" s="11">
        <v>3.3000000000000002E-2</v>
      </c>
      <c r="D8" s="1">
        <v>2</v>
      </c>
      <c r="E8" s="22">
        <f t="shared" si="0"/>
        <v>63190.210580639432</v>
      </c>
      <c r="F8" s="1" t="s">
        <v>56</v>
      </c>
      <c r="G8" s="1">
        <v>123.3</v>
      </c>
      <c r="H8" s="1" t="s">
        <v>152</v>
      </c>
      <c r="I8" s="29">
        <v>0.03</v>
      </c>
      <c r="J8" s="29"/>
      <c r="K8" s="26"/>
      <c r="L8" s="18">
        <f t="shared" si="1"/>
        <v>467481.17787557049</v>
      </c>
      <c r="M8" s="18">
        <f t="shared" si="2"/>
        <v>0</v>
      </c>
      <c r="N8" s="18">
        <f t="shared" si="3"/>
        <v>0</v>
      </c>
      <c r="O8" s="20">
        <f t="shared" si="4"/>
        <v>467.48117787557049</v>
      </c>
      <c r="P8" s="20">
        <f t="shared" si="5"/>
        <v>0</v>
      </c>
      <c r="Q8" s="20">
        <f t="shared" si="6"/>
        <v>0</v>
      </c>
      <c r="T8" s="49"/>
    </row>
    <row r="9" spans="1:20">
      <c r="B9" s="1" t="s">
        <v>101</v>
      </c>
      <c r="C9" s="11">
        <v>2.5999999999999999E-2</v>
      </c>
      <c r="D9" s="1">
        <v>1</v>
      </c>
      <c r="E9" s="22">
        <f t="shared" si="0"/>
        <v>49786.226518079551</v>
      </c>
      <c r="F9" s="1" t="s">
        <v>56</v>
      </c>
      <c r="G9" s="1">
        <v>75.599999999999994</v>
      </c>
      <c r="H9" s="1" t="s">
        <v>152</v>
      </c>
      <c r="I9" s="29">
        <v>0.03</v>
      </c>
      <c r="J9" s="29"/>
      <c r="K9" s="26"/>
      <c r="L9" s="18">
        <f t="shared" si="1"/>
        <v>225830.32348600883</v>
      </c>
      <c r="M9" s="18">
        <f t="shared" si="2"/>
        <v>0</v>
      </c>
      <c r="N9" s="18">
        <f t="shared" si="3"/>
        <v>0</v>
      </c>
      <c r="O9" s="20">
        <f t="shared" si="4"/>
        <v>225.83032348600884</v>
      </c>
      <c r="P9" s="20">
        <f t="shared" si="5"/>
        <v>0</v>
      </c>
      <c r="Q9" s="20">
        <f t="shared" si="6"/>
        <v>0</v>
      </c>
      <c r="T9" s="49"/>
    </row>
    <row r="10" spans="1:20">
      <c r="B10" s="1" t="s">
        <v>102</v>
      </c>
      <c r="C10" s="11">
        <v>2.5999999999999999E-2</v>
      </c>
      <c r="D10" s="1">
        <v>5</v>
      </c>
      <c r="E10" s="22">
        <f t="shared" si="0"/>
        <v>49786.226518079551</v>
      </c>
      <c r="F10" s="1" t="s">
        <v>55</v>
      </c>
      <c r="G10" s="1">
        <v>249</v>
      </c>
      <c r="H10" s="1" t="s">
        <v>152</v>
      </c>
      <c r="I10" s="29">
        <v>0.03</v>
      </c>
      <c r="J10" s="29"/>
      <c r="K10" s="26"/>
      <c r="L10" s="18">
        <f t="shared" si="1"/>
        <v>743806.22418010852</v>
      </c>
      <c r="M10" s="18">
        <f t="shared" si="2"/>
        <v>0</v>
      </c>
      <c r="N10" s="18">
        <f t="shared" si="3"/>
        <v>0</v>
      </c>
      <c r="O10" s="20">
        <f t="shared" si="4"/>
        <v>743.80622418010853</v>
      </c>
      <c r="P10" s="20">
        <f t="shared" si="5"/>
        <v>0</v>
      </c>
      <c r="Q10" s="20">
        <f t="shared" si="6"/>
        <v>0</v>
      </c>
      <c r="T10" s="49"/>
    </row>
    <row r="11" spans="1:20">
      <c r="B11" s="1" t="s">
        <v>104</v>
      </c>
      <c r="C11" s="11">
        <v>2.5000000000000001E-2</v>
      </c>
      <c r="D11" s="1">
        <v>3</v>
      </c>
      <c r="E11" s="22">
        <f t="shared" si="0"/>
        <v>47871.371651999572</v>
      </c>
      <c r="F11" s="1" t="s">
        <v>56</v>
      </c>
      <c r="G11" s="1">
        <v>102</v>
      </c>
      <c r="H11" s="1" t="s">
        <v>152</v>
      </c>
      <c r="I11" s="29">
        <v>0.03</v>
      </c>
      <c r="J11" s="29"/>
      <c r="K11" s="26"/>
      <c r="L11" s="18">
        <f t="shared" si="1"/>
        <v>292972.79451023741</v>
      </c>
      <c r="M11" s="18">
        <f t="shared" si="2"/>
        <v>0</v>
      </c>
      <c r="N11" s="18">
        <f t="shared" si="3"/>
        <v>0</v>
      </c>
      <c r="O11" s="20">
        <f t="shared" si="4"/>
        <v>292.97279451023741</v>
      </c>
      <c r="P11" s="20">
        <f t="shared" si="5"/>
        <v>0</v>
      </c>
      <c r="Q11" s="20">
        <f t="shared" si="6"/>
        <v>0</v>
      </c>
      <c r="T11" s="49"/>
    </row>
    <row r="12" spans="1:20">
      <c r="B12" s="1" t="s">
        <v>105</v>
      </c>
      <c r="C12" s="11">
        <v>2.4E-2</v>
      </c>
      <c r="D12" s="1">
        <v>4</v>
      </c>
      <c r="E12" s="22">
        <f t="shared" si="0"/>
        <v>45956.516785919586</v>
      </c>
      <c r="F12" s="1" t="s">
        <v>149</v>
      </c>
      <c r="G12" s="1">
        <v>253.8</v>
      </c>
      <c r="H12" s="1" t="s">
        <v>152</v>
      </c>
      <c r="I12" s="29">
        <v>0.03</v>
      </c>
      <c r="J12" s="29"/>
      <c r="K12" s="26"/>
      <c r="L12" s="18">
        <f t="shared" si="1"/>
        <v>699825.83761598344</v>
      </c>
      <c r="M12" s="18">
        <f t="shared" si="2"/>
        <v>0</v>
      </c>
      <c r="N12" s="18">
        <f t="shared" si="3"/>
        <v>0</v>
      </c>
      <c r="O12" s="20">
        <f t="shared" si="4"/>
        <v>699.82583761598346</v>
      </c>
      <c r="P12" s="20">
        <f t="shared" si="5"/>
        <v>0</v>
      </c>
      <c r="Q12" s="20">
        <f t="shared" si="6"/>
        <v>0</v>
      </c>
      <c r="T12" s="49"/>
    </row>
    <row r="13" spans="1:20">
      <c r="B13" s="1" t="s">
        <v>106</v>
      </c>
      <c r="C13" s="11">
        <v>2.3E-2</v>
      </c>
      <c r="D13" s="1">
        <v>3</v>
      </c>
      <c r="E13" s="22">
        <f t="shared" si="0"/>
        <v>44041.6619198396</v>
      </c>
      <c r="F13" s="1" t="s">
        <v>149</v>
      </c>
      <c r="G13" s="1">
        <v>343</v>
      </c>
      <c r="H13" s="1" t="s">
        <v>152</v>
      </c>
      <c r="I13" s="29">
        <v>0.03</v>
      </c>
      <c r="J13" s="29"/>
      <c r="K13" s="26"/>
      <c r="L13" s="18">
        <f t="shared" si="1"/>
        <v>906377.40231029887</v>
      </c>
      <c r="M13" s="18">
        <f t="shared" si="2"/>
        <v>0</v>
      </c>
      <c r="N13" s="18">
        <f t="shared" si="3"/>
        <v>0</v>
      </c>
      <c r="O13" s="20">
        <f t="shared" si="4"/>
        <v>906.37740231029886</v>
      </c>
      <c r="P13" s="20">
        <f t="shared" si="5"/>
        <v>0</v>
      </c>
      <c r="Q13" s="20">
        <f t="shared" si="6"/>
        <v>0</v>
      </c>
      <c r="T13" s="49"/>
    </row>
    <row r="14" spans="1:20">
      <c r="B14" s="12" t="s">
        <v>121</v>
      </c>
      <c r="C14" s="11">
        <v>2.1999999999999999E-2</v>
      </c>
      <c r="D14" s="1">
        <v>2</v>
      </c>
      <c r="E14" s="22">
        <f t="shared" si="0"/>
        <v>42126.807053759614</v>
      </c>
      <c r="F14" s="1" t="s">
        <v>103</v>
      </c>
      <c r="G14" s="1">
        <v>238.4</v>
      </c>
      <c r="H14" s="1" t="s">
        <v>152</v>
      </c>
      <c r="I14" s="29">
        <v>0.03</v>
      </c>
      <c r="J14" s="29"/>
      <c r="K14" s="26"/>
      <c r="L14" s="18">
        <f t="shared" si="1"/>
        <v>602581.84809697757</v>
      </c>
      <c r="M14" s="18">
        <f t="shared" si="2"/>
        <v>0</v>
      </c>
      <c r="N14" s="18">
        <f t="shared" si="3"/>
        <v>0</v>
      </c>
      <c r="O14" s="20">
        <f t="shared" si="4"/>
        <v>602.58184809697752</v>
      </c>
      <c r="P14" s="20">
        <f t="shared" si="5"/>
        <v>0</v>
      </c>
      <c r="Q14" s="20">
        <f t="shared" si="6"/>
        <v>0</v>
      </c>
      <c r="T14" s="49"/>
    </row>
    <row r="15" spans="1:20">
      <c r="B15" s="1" t="s">
        <v>107</v>
      </c>
      <c r="C15" s="11">
        <v>1.0999999999999999E-2</v>
      </c>
      <c r="D15" s="1">
        <v>7</v>
      </c>
      <c r="E15" s="22">
        <f t="shared" si="0"/>
        <v>21063.403526879807</v>
      </c>
      <c r="F15" s="1" t="s">
        <v>55</v>
      </c>
      <c r="G15" s="1">
        <v>230</v>
      </c>
      <c r="H15" s="1" t="s">
        <v>152</v>
      </c>
      <c r="I15" s="29">
        <v>0.03</v>
      </c>
      <c r="J15" s="29"/>
      <c r="K15" s="26"/>
      <c r="L15" s="18">
        <f t="shared" si="1"/>
        <v>290674.96867094131</v>
      </c>
      <c r="M15" s="18">
        <f t="shared" si="2"/>
        <v>0</v>
      </c>
      <c r="N15" s="18">
        <f t="shared" si="3"/>
        <v>0</v>
      </c>
      <c r="O15" s="20">
        <f t="shared" si="4"/>
        <v>290.67496867094133</v>
      </c>
      <c r="P15" s="20">
        <f t="shared" si="5"/>
        <v>0</v>
      </c>
      <c r="Q15" s="20">
        <f t="shared" si="6"/>
        <v>0</v>
      </c>
      <c r="T15" s="49"/>
    </row>
    <row r="16" spans="1:20">
      <c r="B16" s="1" t="s">
        <v>108</v>
      </c>
      <c r="C16" s="11">
        <v>8.0000000000000002E-3</v>
      </c>
      <c r="D16" s="1">
        <v>3</v>
      </c>
      <c r="E16" s="22">
        <f t="shared" si="0"/>
        <v>15318.838928639861</v>
      </c>
      <c r="F16" s="1" t="s">
        <v>103</v>
      </c>
      <c r="G16" s="1">
        <v>212.5</v>
      </c>
      <c r="H16" s="1" t="s">
        <v>152</v>
      </c>
      <c r="I16" s="29">
        <v>0.03</v>
      </c>
      <c r="J16" s="29"/>
      <c r="K16" s="26"/>
      <c r="L16" s="18">
        <f t="shared" si="1"/>
        <v>195315.19634015823</v>
      </c>
      <c r="M16" s="18">
        <f t="shared" si="2"/>
        <v>0</v>
      </c>
      <c r="N16" s="18">
        <f t="shared" si="3"/>
        <v>0</v>
      </c>
      <c r="O16" s="20">
        <f t="shared" si="4"/>
        <v>195.31519634015822</v>
      </c>
      <c r="P16" s="20">
        <f t="shared" si="5"/>
        <v>0</v>
      </c>
      <c r="Q16" s="20">
        <f t="shared" si="6"/>
        <v>0</v>
      </c>
      <c r="T16" s="49"/>
    </row>
    <row r="17" spans="2:20">
      <c r="B17" s="1" t="s">
        <v>109</v>
      </c>
      <c r="C17" s="11">
        <v>7.0000000000000001E-3</v>
      </c>
      <c r="D17" s="1">
        <v>5</v>
      </c>
      <c r="E17" s="22">
        <f t="shared" si="0"/>
        <v>13403.984062559879</v>
      </c>
      <c r="F17" s="1" t="s">
        <v>56</v>
      </c>
      <c r="G17" s="1">
        <v>141</v>
      </c>
      <c r="H17" s="1" t="s">
        <v>152</v>
      </c>
      <c r="I17" s="29">
        <v>0.03</v>
      </c>
      <c r="J17" s="29"/>
      <c r="K17" s="26"/>
      <c r="L17" s="18">
        <f t="shared" si="1"/>
        <v>113397.70516925656</v>
      </c>
      <c r="M17" s="18">
        <f t="shared" si="2"/>
        <v>0</v>
      </c>
      <c r="N17" s="18">
        <f t="shared" si="3"/>
        <v>0</v>
      </c>
      <c r="O17" s="20">
        <f t="shared" si="4"/>
        <v>113.39770516925655</v>
      </c>
      <c r="P17" s="20">
        <f t="shared" si="5"/>
        <v>0</v>
      </c>
      <c r="Q17" s="20">
        <f t="shared" si="6"/>
        <v>0</v>
      </c>
      <c r="T17" s="49"/>
    </row>
    <row r="18" spans="2:20">
      <c r="B18" s="1" t="s">
        <v>110</v>
      </c>
      <c r="C18" s="11">
        <v>6.0000000000000001E-3</v>
      </c>
      <c r="D18" s="1">
        <v>6</v>
      </c>
      <c r="E18" s="22">
        <f t="shared" si="0"/>
        <v>11489.129196479897</v>
      </c>
      <c r="F18" s="1" t="s">
        <v>56</v>
      </c>
      <c r="G18" s="1">
        <v>200</v>
      </c>
      <c r="H18" s="1" t="s">
        <v>152</v>
      </c>
      <c r="I18" s="29">
        <v>0.03</v>
      </c>
      <c r="J18" s="29"/>
      <c r="K18" s="26"/>
      <c r="L18" s="18">
        <f t="shared" si="1"/>
        <v>137869.55035775877</v>
      </c>
      <c r="M18" s="18">
        <f t="shared" si="2"/>
        <v>0</v>
      </c>
      <c r="N18" s="18">
        <f t="shared" si="3"/>
        <v>0</v>
      </c>
      <c r="O18" s="20">
        <f t="shared" si="4"/>
        <v>137.86955035775875</v>
      </c>
      <c r="P18" s="20">
        <f t="shared" si="5"/>
        <v>0</v>
      </c>
      <c r="Q18" s="20">
        <f t="shared" si="6"/>
        <v>0</v>
      </c>
      <c r="T18" s="49"/>
    </row>
    <row r="19" spans="2:20">
      <c r="B19" s="1" t="s">
        <v>111</v>
      </c>
      <c r="C19" s="11">
        <v>6.0000000000000001E-3</v>
      </c>
      <c r="D19" s="1">
        <v>4</v>
      </c>
      <c r="E19" s="22">
        <f t="shared" si="0"/>
        <v>11489.129196479897</v>
      </c>
      <c r="F19" s="1" t="s">
        <v>55</v>
      </c>
      <c r="G19" s="1">
        <v>307</v>
      </c>
      <c r="H19" s="1" t="s">
        <v>152</v>
      </c>
      <c r="I19" s="29">
        <v>0.03</v>
      </c>
      <c r="J19" s="29"/>
      <c r="K19" s="26"/>
      <c r="L19" s="18">
        <f t="shared" si="1"/>
        <v>211629.75979915968</v>
      </c>
      <c r="M19" s="18">
        <f t="shared" si="2"/>
        <v>0</v>
      </c>
      <c r="N19" s="18">
        <f t="shared" si="3"/>
        <v>0</v>
      </c>
      <c r="O19" s="20">
        <f t="shared" si="4"/>
        <v>211.62975979915967</v>
      </c>
      <c r="P19" s="20">
        <f t="shared" si="5"/>
        <v>0</v>
      </c>
      <c r="Q19" s="20">
        <f t="shared" si="6"/>
        <v>0</v>
      </c>
      <c r="T19" s="49"/>
    </row>
    <row r="20" spans="2:20">
      <c r="B20" s="1" t="s">
        <v>112</v>
      </c>
      <c r="C20" s="11">
        <v>5.0000000000000001E-3</v>
      </c>
      <c r="D20" s="1">
        <v>5</v>
      </c>
      <c r="E20" s="22">
        <f t="shared" si="0"/>
        <v>9574.2743303999141</v>
      </c>
      <c r="F20" s="1" t="s">
        <v>57</v>
      </c>
      <c r="G20" s="1">
        <v>156</v>
      </c>
      <c r="H20" s="1" t="s">
        <v>152</v>
      </c>
      <c r="I20" s="29">
        <v>0.03</v>
      </c>
      <c r="J20" s="29"/>
      <c r="K20" s="26"/>
      <c r="L20" s="18">
        <f t="shared" si="1"/>
        <v>89615.207732543189</v>
      </c>
      <c r="M20" s="18">
        <f t="shared" si="2"/>
        <v>0</v>
      </c>
      <c r="N20" s="18">
        <f t="shared" si="3"/>
        <v>0</v>
      </c>
      <c r="O20" s="20">
        <f t="shared" si="4"/>
        <v>89.615207732543183</v>
      </c>
      <c r="P20" s="20">
        <f t="shared" si="5"/>
        <v>0</v>
      </c>
      <c r="Q20" s="20">
        <f t="shared" si="6"/>
        <v>0</v>
      </c>
      <c r="T20" s="49"/>
    </row>
    <row r="21" spans="2:20">
      <c r="B21" s="1" t="s">
        <v>113</v>
      </c>
      <c r="C21" s="11">
        <v>5.0000000000000001E-3</v>
      </c>
      <c r="D21" s="1">
        <v>3</v>
      </c>
      <c r="E21" s="22">
        <f t="shared" si="0"/>
        <v>9574.2743303999141</v>
      </c>
      <c r="F21" s="1" t="s">
        <v>55</v>
      </c>
      <c r="G21" s="1">
        <v>30</v>
      </c>
      <c r="H21" s="1" t="s">
        <v>152</v>
      </c>
      <c r="I21" s="29">
        <v>0.03</v>
      </c>
      <c r="J21" s="29"/>
      <c r="K21" s="26"/>
      <c r="L21" s="18">
        <f t="shared" si="1"/>
        <v>17233.693794719842</v>
      </c>
      <c r="M21" s="18">
        <f t="shared" si="2"/>
        <v>0</v>
      </c>
      <c r="N21" s="18">
        <f t="shared" si="3"/>
        <v>0</v>
      </c>
      <c r="O21" s="20">
        <f t="shared" si="4"/>
        <v>17.233693794719841</v>
      </c>
      <c r="P21" s="20">
        <f t="shared" si="5"/>
        <v>0</v>
      </c>
      <c r="Q21" s="20">
        <f t="shared" si="6"/>
        <v>0</v>
      </c>
      <c r="T21" s="49"/>
    </row>
    <row r="22" spans="2:20">
      <c r="B22" s="1" t="s">
        <v>114</v>
      </c>
      <c r="C22" s="11">
        <v>5.0000000000000001E-3</v>
      </c>
      <c r="D22" s="1">
        <v>9</v>
      </c>
      <c r="E22" s="22">
        <f t="shared" si="0"/>
        <v>9574.2743303999141</v>
      </c>
      <c r="F22" s="1" t="s">
        <v>55</v>
      </c>
      <c r="G22" s="1">
        <v>62.5</v>
      </c>
      <c r="H22" s="1" t="s">
        <v>152</v>
      </c>
      <c r="I22" s="29">
        <v>0.03</v>
      </c>
      <c r="J22" s="29"/>
      <c r="K22" s="26"/>
      <c r="L22" s="18">
        <f t="shared" si="1"/>
        <v>35903.528738999681</v>
      </c>
      <c r="M22" s="18">
        <f t="shared" si="2"/>
        <v>0</v>
      </c>
      <c r="N22" s="18">
        <f t="shared" si="3"/>
        <v>0</v>
      </c>
      <c r="O22" s="20">
        <f t="shared" si="4"/>
        <v>35.903528738999682</v>
      </c>
      <c r="P22" s="20">
        <f t="shared" si="5"/>
        <v>0</v>
      </c>
      <c r="Q22" s="20">
        <f t="shared" si="6"/>
        <v>0</v>
      </c>
      <c r="T22" s="49"/>
    </row>
    <row r="23" spans="2:20">
      <c r="B23" s="1" t="s">
        <v>115</v>
      </c>
      <c r="C23" s="11">
        <v>4.0000000000000001E-3</v>
      </c>
      <c r="D23" s="1">
        <v>5</v>
      </c>
      <c r="E23" s="22">
        <f t="shared" si="0"/>
        <v>7659.4194643199307</v>
      </c>
      <c r="F23" s="1" t="s">
        <v>56</v>
      </c>
      <c r="G23" s="1">
        <v>150</v>
      </c>
      <c r="H23" s="1" t="s">
        <v>152</v>
      </c>
      <c r="I23" s="29">
        <v>0.03</v>
      </c>
      <c r="J23" s="29"/>
      <c r="K23" s="26"/>
      <c r="L23" s="18">
        <f t="shared" si="1"/>
        <v>68934.775178879383</v>
      </c>
      <c r="M23" s="18">
        <f t="shared" si="2"/>
        <v>0</v>
      </c>
      <c r="N23" s="18">
        <f t="shared" si="3"/>
        <v>0</v>
      </c>
      <c r="O23" s="20">
        <f t="shared" si="4"/>
        <v>68.934775178879377</v>
      </c>
      <c r="P23" s="20">
        <f t="shared" si="5"/>
        <v>0</v>
      </c>
      <c r="Q23" s="20">
        <f t="shared" si="6"/>
        <v>0</v>
      </c>
      <c r="T23" s="49"/>
    </row>
    <row r="24" spans="2:20">
      <c r="B24" s="1" t="s">
        <v>116</v>
      </c>
      <c r="C24" s="11">
        <v>4.0000000000000001E-3</v>
      </c>
      <c r="D24" s="1">
        <v>8</v>
      </c>
      <c r="E24" s="22">
        <f t="shared" si="0"/>
        <v>7659.4194643199307</v>
      </c>
      <c r="F24" s="1" t="s">
        <v>55</v>
      </c>
      <c r="G24" s="1">
        <v>295</v>
      </c>
      <c r="H24" s="1" t="s">
        <v>152</v>
      </c>
      <c r="I24" s="29">
        <v>0.03</v>
      </c>
      <c r="J24" s="29"/>
      <c r="K24" s="26"/>
      <c r="L24" s="18">
        <f t="shared" si="1"/>
        <v>135571.72451846278</v>
      </c>
      <c r="M24" s="18">
        <f t="shared" si="2"/>
        <v>0</v>
      </c>
      <c r="N24" s="18">
        <f t="shared" si="3"/>
        <v>0</v>
      </c>
      <c r="O24" s="20">
        <f t="shared" si="4"/>
        <v>135.57172451846279</v>
      </c>
      <c r="P24" s="20">
        <f t="shared" si="5"/>
        <v>0</v>
      </c>
      <c r="Q24" s="20">
        <f t="shared" si="6"/>
        <v>0</v>
      </c>
      <c r="T24" s="49"/>
    </row>
    <row r="25" spans="2:20">
      <c r="B25" s="1" t="s">
        <v>117</v>
      </c>
      <c r="C25" s="11">
        <v>4.0000000000000001E-3</v>
      </c>
      <c r="D25" s="1">
        <v>1</v>
      </c>
      <c r="E25" s="22">
        <f t="shared" si="0"/>
        <v>7659.4194643199307</v>
      </c>
      <c r="F25" s="1" t="s">
        <v>55</v>
      </c>
      <c r="G25" s="1">
        <v>7.1</v>
      </c>
      <c r="H25" s="1" t="s">
        <v>152</v>
      </c>
      <c r="I25" s="29">
        <v>0.03</v>
      </c>
      <c r="J25" s="29"/>
      <c r="K25" s="26"/>
      <c r="L25" s="18">
        <f t="shared" si="1"/>
        <v>3262.9126918002903</v>
      </c>
      <c r="M25" s="18">
        <f t="shared" si="2"/>
        <v>0</v>
      </c>
      <c r="N25" s="18">
        <f t="shared" si="3"/>
        <v>0</v>
      </c>
      <c r="O25" s="20">
        <f t="shared" si="4"/>
        <v>3.2629126918002904</v>
      </c>
      <c r="P25" s="20">
        <f t="shared" si="5"/>
        <v>0</v>
      </c>
      <c r="Q25" s="20">
        <f t="shared" si="6"/>
        <v>0</v>
      </c>
      <c r="T25" s="49"/>
    </row>
    <row r="26" spans="2:20">
      <c r="B26" s="1" t="s">
        <v>118</v>
      </c>
      <c r="C26" s="11">
        <v>4.0000000000000001E-3</v>
      </c>
      <c r="D26" s="1">
        <v>1</v>
      </c>
      <c r="E26" s="22">
        <f t="shared" si="0"/>
        <v>7659.4194643199307</v>
      </c>
      <c r="F26" s="1" t="s">
        <v>56</v>
      </c>
      <c r="G26" s="1">
        <v>113</v>
      </c>
      <c r="H26" s="1" t="s">
        <v>152</v>
      </c>
      <c r="I26" s="29">
        <v>0.03</v>
      </c>
      <c r="J26" s="29"/>
      <c r="K26" s="26"/>
      <c r="L26" s="18">
        <f t="shared" si="1"/>
        <v>51930.863968089128</v>
      </c>
      <c r="M26" s="18">
        <f t="shared" si="2"/>
        <v>0</v>
      </c>
      <c r="N26" s="18">
        <f t="shared" si="3"/>
        <v>0</v>
      </c>
      <c r="O26" s="20">
        <f t="shared" si="4"/>
        <v>51.930863968089128</v>
      </c>
      <c r="P26" s="20">
        <f t="shared" si="5"/>
        <v>0</v>
      </c>
      <c r="Q26" s="20">
        <f t="shared" si="6"/>
        <v>0</v>
      </c>
      <c r="T26" s="49"/>
    </row>
    <row r="27" spans="2:20">
      <c r="B27" s="1" t="s">
        <v>119</v>
      </c>
      <c r="C27" s="11">
        <v>3.0000000000000001E-3</v>
      </c>
      <c r="D27" s="1">
        <v>6</v>
      </c>
      <c r="E27" s="22">
        <f t="shared" si="0"/>
        <v>5744.5645982399483</v>
      </c>
      <c r="F27" s="1" t="s">
        <v>56</v>
      </c>
      <c r="G27" s="1">
        <v>422</v>
      </c>
      <c r="H27" s="1"/>
      <c r="I27" s="29">
        <v>0.03</v>
      </c>
      <c r="J27" s="29"/>
      <c r="K27" s="26"/>
      <c r="L27" s="18">
        <f t="shared" si="1"/>
        <v>145452.37562743548</v>
      </c>
      <c r="M27" s="18">
        <f t="shared" si="2"/>
        <v>0</v>
      </c>
      <c r="N27" s="18">
        <f t="shared" si="3"/>
        <v>0</v>
      </c>
      <c r="O27" s="20">
        <f t="shared" si="4"/>
        <v>145.45237562743549</v>
      </c>
      <c r="P27" s="20">
        <f t="shared" si="5"/>
        <v>0</v>
      </c>
      <c r="Q27" s="20">
        <f t="shared" si="6"/>
        <v>0</v>
      </c>
      <c r="T27" s="49"/>
    </row>
    <row r="28" spans="2:20">
      <c r="O28" s="20">
        <f>SUM(O6:O27)</f>
        <v>11842.879484439511</v>
      </c>
      <c r="P28" s="20">
        <f>SUM(P6:P27)</f>
        <v>0</v>
      </c>
      <c r="Q28" s="20">
        <f>SUM(Q6:Q27)</f>
        <v>0</v>
      </c>
      <c r="T28" s="49"/>
    </row>
    <row r="29" spans="2:20">
      <c r="O29" s="25"/>
      <c r="P29" s="25"/>
      <c r="Q29" s="25"/>
    </row>
    <row r="30" spans="2:20">
      <c r="B30" s="71" t="s">
        <v>201</v>
      </c>
      <c r="I30" s="144" t="s">
        <v>124</v>
      </c>
      <c r="J30" s="145"/>
      <c r="K30" s="145"/>
      <c r="L30" s="144" t="s">
        <v>86</v>
      </c>
      <c r="M30" s="145"/>
      <c r="N30" s="145"/>
      <c r="O30" s="144" t="s">
        <v>87</v>
      </c>
      <c r="P30" s="145"/>
      <c r="Q30" s="145"/>
    </row>
    <row r="31" spans="2:20" ht="30">
      <c r="B31" s="10" t="s">
        <v>150</v>
      </c>
      <c r="C31" s="10" t="s">
        <v>120</v>
      </c>
      <c r="D31" s="10" t="s">
        <v>122</v>
      </c>
      <c r="E31" s="13" t="s">
        <v>125</v>
      </c>
      <c r="F31" s="10" t="s">
        <v>123</v>
      </c>
      <c r="G31" s="13" t="s">
        <v>151</v>
      </c>
      <c r="H31" s="13" t="s">
        <v>126</v>
      </c>
      <c r="I31" s="13" t="s">
        <v>52</v>
      </c>
      <c r="J31" s="13" t="s">
        <v>53</v>
      </c>
      <c r="K31" s="13" t="s">
        <v>54</v>
      </c>
      <c r="L31" s="13" t="s">
        <v>52</v>
      </c>
      <c r="M31" s="13" t="s">
        <v>53</v>
      </c>
      <c r="N31" s="13" t="s">
        <v>54</v>
      </c>
      <c r="O31" s="13" t="s">
        <v>52</v>
      </c>
      <c r="P31" s="13" t="s">
        <v>53</v>
      </c>
      <c r="Q31" s="13" t="s">
        <v>54</v>
      </c>
    </row>
    <row r="32" spans="2:20">
      <c r="B32" s="1" t="s">
        <v>96</v>
      </c>
      <c r="C32" s="11">
        <v>8.7999999999999995E-2</v>
      </c>
      <c r="D32" s="1">
        <v>3</v>
      </c>
      <c r="E32" s="22">
        <f>$G$3*C32*0.1678</f>
        <v>35593.545939682095</v>
      </c>
      <c r="F32" s="1" t="s">
        <v>56</v>
      </c>
      <c r="G32" s="1">
        <v>340.2</v>
      </c>
      <c r="H32" s="1" t="s">
        <v>190</v>
      </c>
      <c r="I32" s="32">
        <v>0.11</v>
      </c>
      <c r="J32" s="32"/>
      <c r="K32" s="32"/>
      <c r="L32" s="18">
        <f>I32*$G32*$E32*2</f>
        <v>2663963.3523095665</v>
      </c>
      <c r="M32" s="18">
        <f t="shared" ref="M32:M53" si="7">J32*$G32*$E32*2</f>
        <v>0</v>
      </c>
      <c r="N32" s="18">
        <f t="shared" ref="N32:N53" si="8">K32*$G32*$E32*2</f>
        <v>0</v>
      </c>
      <c r="O32" s="20">
        <f>L32/1000</f>
        <v>2663.9633523095663</v>
      </c>
      <c r="P32" s="20">
        <f t="shared" ref="P32:P53" si="9">M32/1000</f>
        <v>0</v>
      </c>
      <c r="Q32" s="20">
        <f t="shared" ref="Q32:Q53" si="10">N32/1000</f>
        <v>0</v>
      </c>
    </row>
    <row r="33" spans="2:17">
      <c r="B33" s="1" t="s">
        <v>97</v>
      </c>
      <c r="C33" s="11">
        <v>6.3E-2</v>
      </c>
      <c r="D33" s="1">
        <v>3</v>
      </c>
      <c r="E33" s="22">
        <f t="shared" ref="E33:E53" si="11">$G$3*C33*0.1678</f>
        <v>25481.743115908772</v>
      </c>
      <c r="F33" s="1" t="s">
        <v>56</v>
      </c>
      <c r="G33" s="1">
        <v>410</v>
      </c>
      <c r="H33" s="1" t="s">
        <v>190</v>
      </c>
      <c r="I33" s="32">
        <v>0.11</v>
      </c>
      <c r="J33" s="32"/>
      <c r="K33" s="32"/>
      <c r="L33" s="18">
        <f t="shared" ref="L33:L53" si="12">I33*$G33*$E33*2</f>
        <v>2298453.2290549711</v>
      </c>
      <c r="M33" s="18">
        <f t="shared" si="7"/>
        <v>0</v>
      </c>
      <c r="N33" s="18">
        <f t="shared" si="8"/>
        <v>0</v>
      </c>
      <c r="O33" s="20">
        <f t="shared" ref="O33:O53" si="13">L33/1000</f>
        <v>2298.453229054971</v>
      </c>
      <c r="P33" s="20">
        <f t="shared" si="9"/>
        <v>0</v>
      </c>
      <c r="Q33" s="20">
        <f t="shared" si="10"/>
        <v>0</v>
      </c>
    </row>
    <row r="34" spans="2:17">
      <c r="B34" s="1" t="s">
        <v>98</v>
      </c>
      <c r="C34" s="11">
        <v>3.3000000000000002E-2</v>
      </c>
      <c r="D34" s="1">
        <v>2</v>
      </c>
      <c r="E34" s="22">
        <f t="shared" si="11"/>
        <v>13347.579727380786</v>
      </c>
      <c r="F34" s="1" t="s">
        <v>56</v>
      </c>
      <c r="G34" s="1">
        <v>123.3</v>
      </c>
      <c r="H34" s="1" t="s">
        <v>190</v>
      </c>
      <c r="I34" s="32">
        <v>0.11</v>
      </c>
      <c r="J34" s="32"/>
      <c r="K34" s="32"/>
      <c r="L34" s="18">
        <f t="shared" si="12"/>
        <v>362066.44768493122</v>
      </c>
      <c r="M34" s="18">
        <f t="shared" si="7"/>
        <v>0</v>
      </c>
      <c r="N34" s="18">
        <f t="shared" si="8"/>
        <v>0</v>
      </c>
      <c r="O34" s="20">
        <f t="shared" si="13"/>
        <v>362.06644768493123</v>
      </c>
      <c r="P34" s="20">
        <f t="shared" si="9"/>
        <v>0</v>
      </c>
      <c r="Q34" s="20">
        <f t="shared" si="10"/>
        <v>0</v>
      </c>
    </row>
    <row r="35" spans="2:17">
      <c r="B35" s="1" t="s">
        <v>101</v>
      </c>
      <c r="C35" s="11">
        <v>2.5999999999999999E-2</v>
      </c>
      <c r="D35" s="1">
        <v>1</v>
      </c>
      <c r="E35" s="22">
        <f t="shared" si="11"/>
        <v>10516.274936724256</v>
      </c>
      <c r="F35" s="1" t="s">
        <v>56</v>
      </c>
      <c r="G35" s="1">
        <v>75.599999999999994</v>
      </c>
      <c r="H35" s="1" t="s">
        <v>190</v>
      </c>
      <c r="I35" s="32">
        <v>0.11</v>
      </c>
      <c r="J35" s="32"/>
      <c r="K35" s="32"/>
      <c r="L35" s="18">
        <f t="shared" si="12"/>
        <v>174906.68474759781</v>
      </c>
      <c r="M35" s="18">
        <f t="shared" si="7"/>
        <v>0</v>
      </c>
      <c r="N35" s="18">
        <f t="shared" si="8"/>
        <v>0</v>
      </c>
      <c r="O35" s="20">
        <f t="shared" si="13"/>
        <v>174.90668474759781</v>
      </c>
      <c r="P35" s="20">
        <f t="shared" si="9"/>
        <v>0</v>
      </c>
      <c r="Q35" s="20">
        <f t="shared" si="10"/>
        <v>0</v>
      </c>
    </row>
    <row r="36" spans="2:17">
      <c r="B36" s="1" t="s">
        <v>102</v>
      </c>
      <c r="C36" s="11">
        <v>2.5999999999999999E-2</v>
      </c>
      <c r="D36" s="1">
        <v>5</v>
      </c>
      <c r="E36" s="22">
        <f t="shared" si="11"/>
        <v>10516.274936724256</v>
      </c>
      <c r="F36" s="1" t="s">
        <v>55</v>
      </c>
      <c r="G36" s="1">
        <v>249</v>
      </c>
      <c r="H36" s="1" t="s">
        <v>190</v>
      </c>
      <c r="I36" s="32">
        <v>0.11</v>
      </c>
      <c r="J36" s="32"/>
      <c r="K36" s="32"/>
      <c r="L36" s="18">
        <f t="shared" si="12"/>
        <v>576081.54103375471</v>
      </c>
      <c r="M36" s="18">
        <f t="shared" si="7"/>
        <v>0</v>
      </c>
      <c r="N36" s="18">
        <f t="shared" si="8"/>
        <v>0</v>
      </c>
      <c r="O36" s="20">
        <f t="shared" si="13"/>
        <v>576.08154103375466</v>
      </c>
      <c r="P36" s="20">
        <f t="shared" si="9"/>
        <v>0</v>
      </c>
      <c r="Q36" s="20">
        <f t="shared" si="10"/>
        <v>0</v>
      </c>
    </row>
    <row r="37" spans="2:17">
      <c r="B37" s="1" t="s">
        <v>104</v>
      </c>
      <c r="C37" s="11">
        <v>2.5000000000000001E-2</v>
      </c>
      <c r="D37" s="1">
        <v>3</v>
      </c>
      <c r="E37" s="22">
        <f t="shared" si="11"/>
        <v>10111.802823773323</v>
      </c>
      <c r="F37" s="1" t="s">
        <v>56</v>
      </c>
      <c r="G37" s="1">
        <v>102</v>
      </c>
      <c r="H37" s="1" t="s">
        <v>190</v>
      </c>
      <c r="I37" s="32">
        <v>0.11</v>
      </c>
      <c r="J37" s="32"/>
      <c r="K37" s="32"/>
      <c r="L37" s="18">
        <f t="shared" si="12"/>
        <v>226908.8553654734</v>
      </c>
      <c r="M37" s="18">
        <f t="shared" si="7"/>
        <v>0</v>
      </c>
      <c r="N37" s="18">
        <f t="shared" si="8"/>
        <v>0</v>
      </c>
      <c r="O37" s="20">
        <f t="shared" si="13"/>
        <v>226.90885536547339</v>
      </c>
      <c r="P37" s="20">
        <f t="shared" si="9"/>
        <v>0</v>
      </c>
      <c r="Q37" s="20">
        <f t="shared" si="10"/>
        <v>0</v>
      </c>
    </row>
    <row r="38" spans="2:17">
      <c r="B38" s="1" t="s">
        <v>105</v>
      </c>
      <c r="C38" s="11">
        <v>2.4E-2</v>
      </c>
      <c r="D38" s="1">
        <v>4</v>
      </c>
      <c r="E38" s="22">
        <f t="shared" si="11"/>
        <v>9707.3307108223908</v>
      </c>
      <c r="F38" s="1" t="s">
        <v>149</v>
      </c>
      <c r="G38" s="1">
        <v>253.8</v>
      </c>
      <c r="H38" s="1" t="s">
        <v>190</v>
      </c>
      <c r="I38" s="32">
        <v>0.11</v>
      </c>
      <c r="J38" s="32"/>
      <c r="K38" s="32"/>
      <c r="L38" s="18">
        <f t="shared" si="12"/>
        <v>542018.51756947907</v>
      </c>
      <c r="M38" s="18">
        <f t="shared" si="7"/>
        <v>0</v>
      </c>
      <c r="N38" s="18">
        <f t="shared" si="8"/>
        <v>0</v>
      </c>
      <c r="O38" s="20">
        <f t="shared" si="13"/>
        <v>542.01851756947906</v>
      </c>
      <c r="P38" s="20">
        <f t="shared" si="9"/>
        <v>0</v>
      </c>
      <c r="Q38" s="20">
        <f t="shared" si="10"/>
        <v>0</v>
      </c>
    </row>
    <row r="39" spans="2:17">
      <c r="B39" s="1" t="s">
        <v>106</v>
      </c>
      <c r="C39" s="11">
        <v>2.3E-2</v>
      </c>
      <c r="D39" s="1">
        <v>3</v>
      </c>
      <c r="E39" s="22">
        <f t="shared" si="11"/>
        <v>9302.8585978714564</v>
      </c>
      <c r="F39" s="1" t="s">
        <v>149</v>
      </c>
      <c r="G39" s="1">
        <v>343</v>
      </c>
      <c r="H39" s="1" t="s">
        <v>190</v>
      </c>
      <c r="I39" s="32">
        <v>0.11</v>
      </c>
      <c r="J39" s="32"/>
      <c r="K39" s="32"/>
      <c r="L39" s="18">
        <f t="shared" si="12"/>
        <v>701993.70979538001</v>
      </c>
      <c r="M39" s="18">
        <f t="shared" si="7"/>
        <v>0</v>
      </c>
      <c r="N39" s="18">
        <f t="shared" si="8"/>
        <v>0</v>
      </c>
      <c r="O39" s="20">
        <f t="shared" si="13"/>
        <v>701.99370979538003</v>
      </c>
      <c r="P39" s="20">
        <f t="shared" si="9"/>
        <v>0</v>
      </c>
      <c r="Q39" s="20">
        <f t="shared" si="10"/>
        <v>0</v>
      </c>
    </row>
    <row r="40" spans="2:17">
      <c r="B40" s="12" t="s">
        <v>121</v>
      </c>
      <c r="C40" s="11">
        <v>2.1999999999999999E-2</v>
      </c>
      <c r="D40" s="1">
        <v>2</v>
      </c>
      <c r="E40" s="22">
        <f t="shared" si="11"/>
        <v>8898.3864849205238</v>
      </c>
      <c r="F40" s="1" t="s">
        <v>103</v>
      </c>
      <c r="G40" s="1">
        <v>238.4</v>
      </c>
      <c r="H40" s="1" t="s">
        <v>190</v>
      </c>
      <c r="I40" s="32">
        <v>0.11</v>
      </c>
      <c r="J40" s="32"/>
      <c r="K40" s="32"/>
      <c r="L40" s="18">
        <f t="shared" si="12"/>
        <v>466702.57436111162</v>
      </c>
      <c r="M40" s="18">
        <f t="shared" si="7"/>
        <v>0</v>
      </c>
      <c r="N40" s="18">
        <f t="shared" si="8"/>
        <v>0</v>
      </c>
      <c r="O40" s="20">
        <f t="shared" si="13"/>
        <v>466.7025743611116</v>
      </c>
      <c r="P40" s="20">
        <f t="shared" si="9"/>
        <v>0</v>
      </c>
      <c r="Q40" s="20">
        <f t="shared" si="10"/>
        <v>0</v>
      </c>
    </row>
    <row r="41" spans="2:17">
      <c r="B41" s="1" t="s">
        <v>107</v>
      </c>
      <c r="C41" s="11">
        <v>1.0999999999999999E-2</v>
      </c>
      <c r="D41" s="1">
        <v>7</v>
      </c>
      <c r="E41" s="22">
        <f t="shared" si="11"/>
        <v>4449.1932424602619</v>
      </c>
      <c r="F41" s="1" t="s">
        <v>55</v>
      </c>
      <c r="G41" s="1">
        <v>230</v>
      </c>
      <c r="H41" s="1" t="s">
        <v>190</v>
      </c>
      <c r="I41" s="32">
        <v>0.11</v>
      </c>
      <c r="J41" s="32"/>
      <c r="K41" s="32"/>
      <c r="L41" s="18">
        <f t="shared" si="12"/>
        <v>225129.17806848927</v>
      </c>
      <c r="M41" s="18">
        <f t="shared" si="7"/>
        <v>0</v>
      </c>
      <c r="N41" s="18">
        <f t="shared" si="8"/>
        <v>0</v>
      </c>
      <c r="O41" s="20">
        <f t="shared" si="13"/>
        <v>225.12917806848927</v>
      </c>
      <c r="P41" s="20">
        <f t="shared" si="9"/>
        <v>0</v>
      </c>
      <c r="Q41" s="20">
        <f t="shared" si="10"/>
        <v>0</v>
      </c>
    </row>
    <row r="42" spans="2:17">
      <c r="B42" s="1" t="s">
        <v>108</v>
      </c>
      <c r="C42" s="11">
        <v>8.0000000000000002E-3</v>
      </c>
      <c r="D42" s="1">
        <v>3</v>
      </c>
      <c r="E42" s="22">
        <f t="shared" si="11"/>
        <v>3235.7769036074633</v>
      </c>
      <c r="F42" s="1" t="s">
        <v>103</v>
      </c>
      <c r="G42" s="1">
        <v>212.5</v>
      </c>
      <c r="H42" s="1" t="s">
        <v>190</v>
      </c>
      <c r="I42" s="32">
        <v>0.11</v>
      </c>
      <c r="J42" s="32"/>
      <c r="K42" s="32"/>
      <c r="L42" s="18">
        <f t="shared" si="12"/>
        <v>151272.57024364892</v>
      </c>
      <c r="M42" s="18">
        <f t="shared" si="7"/>
        <v>0</v>
      </c>
      <c r="N42" s="18">
        <f t="shared" si="8"/>
        <v>0</v>
      </c>
      <c r="O42" s="20">
        <f t="shared" si="13"/>
        <v>151.27257024364891</v>
      </c>
      <c r="P42" s="20">
        <f t="shared" si="9"/>
        <v>0</v>
      </c>
      <c r="Q42" s="20">
        <f t="shared" si="10"/>
        <v>0</v>
      </c>
    </row>
    <row r="43" spans="2:17">
      <c r="B43" s="1" t="s">
        <v>109</v>
      </c>
      <c r="C43" s="11">
        <v>7.0000000000000001E-3</v>
      </c>
      <c r="D43" s="1">
        <v>5</v>
      </c>
      <c r="E43" s="22">
        <f t="shared" si="11"/>
        <v>2831.3047906565307</v>
      </c>
      <c r="F43" s="1" t="s">
        <v>56</v>
      </c>
      <c r="G43" s="1">
        <v>141</v>
      </c>
      <c r="H43" s="1" t="s">
        <v>190</v>
      </c>
      <c r="I43" s="32">
        <v>0.11</v>
      </c>
      <c r="J43" s="32"/>
      <c r="K43" s="32"/>
      <c r="L43" s="18">
        <f t="shared" si="12"/>
        <v>87827.074606165581</v>
      </c>
      <c r="M43" s="18">
        <f t="shared" si="7"/>
        <v>0</v>
      </c>
      <c r="N43" s="18">
        <f t="shared" si="8"/>
        <v>0</v>
      </c>
      <c r="O43" s="20">
        <f t="shared" si="13"/>
        <v>87.827074606165581</v>
      </c>
      <c r="P43" s="20">
        <f t="shared" si="9"/>
        <v>0</v>
      </c>
      <c r="Q43" s="20">
        <f t="shared" si="10"/>
        <v>0</v>
      </c>
    </row>
    <row r="44" spans="2:17">
      <c r="B44" s="1" t="s">
        <v>110</v>
      </c>
      <c r="C44" s="11">
        <v>6.0000000000000001E-3</v>
      </c>
      <c r="D44" s="1">
        <v>6</v>
      </c>
      <c r="E44" s="22">
        <f t="shared" si="11"/>
        <v>2426.8326777055977</v>
      </c>
      <c r="F44" s="1" t="s">
        <v>56</v>
      </c>
      <c r="G44" s="1">
        <v>200</v>
      </c>
      <c r="H44" s="1" t="s">
        <v>190</v>
      </c>
      <c r="I44" s="32">
        <v>0.11</v>
      </c>
      <c r="J44" s="32"/>
      <c r="K44" s="32"/>
      <c r="L44" s="18">
        <f t="shared" si="12"/>
        <v>106780.6378190463</v>
      </c>
      <c r="M44" s="18">
        <f t="shared" si="7"/>
        <v>0</v>
      </c>
      <c r="N44" s="18">
        <f t="shared" si="8"/>
        <v>0</v>
      </c>
      <c r="O44" s="20">
        <f t="shared" si="13"/>
        <v>106.78063781904631</v>
      </c>
      <c r="P44" s="20">
        <f t="shared" si="9"/>
        <v>0</v>
      </c>
      <c r="Q44" s="20">
        <f t="shared" si="10"/>
        <v>0</v>
      </c>
    </row>
    <row r="45" spans="2:17">
      <c r="B45" s="1" t="s">
        <v>111</v>
      </c>
      <c r="C45" s="11">
        <v>6.0000000000000001E-3</v>
      </c>
      <c r="D45" s="1">
        <v>4</v>
      </c>
      <c r="E45" s="22">
        <f t="shared" si="11"/>
        <v>2426.8326777055977</v>
      </c>
      <c r="F45" s="1" t="s">
        <v>55</v>
      </c>
      <c r="G45" s="1">
        <v>307</v>
      </c>
      <c r="H45" s="1" t="s">
        <v>190</v>
      </c>
      <c r="I45" s="32">
        <v>0.11</v>
      </c>
      <c r="J45" s="32"/>
      <c r="K45" s="32"/>
      <c r="L45" s="18">
        <f t="shared" si="12"/>
        <v>163908.27905223609</v>
      </c>
      <c r="M45" s="18">
        <f t="shared" si="7"/>
        <v>0</v>
      </c>
      <c r="N45" s="18">
        <f t="shared" si="8"/>
        <v>0</v>
      </c>
      <c r="O45" s="20">
        <f t="shared" si="13"/>
        <v>163.90827905223608</v>
      </c>
      <c r="P45" s="20">
        <f t="shared" si="9"/>
        <v>0</v>
      </c>
      <c r="Q45" s="20">
        <f t="shared" si="10"/>
        <v>0</v>
      </c>
    </row>
    <row r="46" spans="2:17">
      <c r="B46" s="1" t="s">
        <v>112</v>
      </c>
      <c r="C46" s="11">
        <v>5.0000000000000001E-3</v>
      </c>
      <c r="D46" s="1">
        <v>5</v>
      </c>
      <c r="E46" s="22">
        <f t="shared" si="11"/>
        <v>2022.3605647546647</v>
      </c>
      <c r="F46" s="1" t="s">
        <v>57</v>
      </c>
      <c r="G46" s="1">
        <v>156</v>
      </c>
      <c r="H46" s="1" t="s">
        <v>190</v>
      </c>
      <c r="I46" s="32">
        <v>0.11</v>
      </c>
      <c r="J46" s="32"/>
      <c r="K46" s="32"/>
      <c r="L46" s="18">
        <f t="shared" si="12"/>
        <v>69407.414582380094</v>
      </c>
      <c r="M46" s="18">
        <f t="shared" si="7"/>
        <v>0</v>
      </c>
      <c r="N46" s="18">
        <f t="shared" si="8"/>
        <v>0</v>
      </c>
      <c r="O46" s="20">
        <f t="shared" si="13"/>
        <v>69.407414582380099</v>
      </c>
      <c r="P46" s="20">
        <f t="shared" si="9"/>
        <v>0</v>
      </c>
      <c r="Q46" s="20">
        <f t="shared" si="10"/>
        <v>0</v>
      </c>
    </row>
    <row r="47" spans="2:17">
      <c r="B47" s="1" t="s">
        <v>113</v>
      </c>
      <c r="C47" s="11">
        <v>5.0000000000000001E-3</v>
      </c>
      <c r="D47" s="1">
        <v>3</v>
      </c>
      <c r="E47" s="22">
        <f t="shared" si="11"/>
        <v>2022.3605647546647</v>
      </c>
      <c r="F47" s="1" t="s">
        <v>55</v>
      </c>
      <c r="G47" s="1">
        <v>30</v>
      </c>
      <c r="H47" s="1" t="s">
        <v>190</v>
      </c>
      <c r="I47" s="32">
        <v>0.11</v>
      </c>
      <c r="J47" s="32"/>
      <c r="K47" s="32"/>
      <c r="L47" s="18">
        <f t="shared" si="12"/>
        <v>13347.579727380786</v>
      </c>
      <c r="M47" s="18">
        <f t="shared" si="7"/>
        <v>0</v>
      </c>
      <c r="N47" s="18">
        <f t="shared" si="8"/>
        <v>0</v>
      </c>
      <c r="O47" s="20">
        <f t="shared" si="13"/>
        <v>13.347579727380786</v>
      </c>
      <c r="P47" s="20">
        <f t="shared" si="9"/>
        <v>0</v>
      </c>
      <c r="Q47" s="20">
        <f t="shared" si="10"/>
        <v>0</v>
      </c>
    </row>
    <row r="48" spans="2:17">
      <c r="B48" s="1" t="s">
        <v>114</v>
      </c>
      <c r="C48" s="11">
        <v>5.0000000000000001E-3</v>
      </c>
      <c r="D48" s="1">
        <v>9</v>
      </c>
      <c r="E48" s="22">
        <f t="shared" si="11"/>
        <v>2022.3605647546647</v>
      </c>
      <c r="F48" s="1" t="s">
        <v>55</v>
      </c>
      <c r="G48" s="1">
        <v>62.5</v>
      </c>
      <c r="H48" s="1" t="s">
        <v>190</v>
      </c>
      <c r="I48" s="32">
        <v>0.11</v>
      </c>
      <c r="J48" s="32"/>
      <c r="K48" s="32"/>
      <c r="L48" s="18">
        <f t="shared" si="12"/>
        <v>27807.457765376639</v>
      </c>
      <c r="M48" s="18">
        <f t="shared" si="7"/>
        <v>0</v>
      </c>
      <c r="N48" s="18">
        <f t="shared" si="8"/>
        <v>0</v>
      </c>
      <c r="O48" s="20">
        <f t="shared" si="13"/>
        <v>27.80745776537664</v>
      </c>
      <c r="P48" s="20">
        <f t="shared" si="9"/>
        <v>0</v>
      </c>
      <c r="Q48" s="20">
        <f t="shared" si="10"/>
        <v>0</v>
      </c>
    </row>
    <row r="49" spans="2:20">
      <c r="B49" s="1" t="s">
        <v>115</v>
      </c>
      <c r="C49" s="11">
        <v>4.0000000000000001E-3</v>
      </c>
      <c r="D49" s="1">
        <v>5</v>
      </c>
      <c r="E49" s="22">
        <f t="shared" si="11"/>
        <v>1617.8884518037316</v>
      </c>
      <c r="F49" s="1" t="s">
        <v>56</v>
      </c>
      <c r="G49" s="1">
        <v>150</v>
      </c>
      <c r="H49" s="1" t="s">
        <v>190</v>
      </c>
      <c r="I49" s="32">
        <v>0.11</v>
      </c>
      <c r="J49" s="32"/>
      <c r="K49" s="32"/>
      <c r="L49" s="18">
        <f t="shared" si="12"/>
        <v>53390.318909523143</v>
      </c>
      <c r="M49" s="18">
        <f t="shared" si="7"/>
        <v>0</v>
      </c>
      <c r="N49" s="18">
        <f t="shared" si="8"/>
        <v>0</v>
      </c>
      <c r="O49" s="20">
        <f t="shared" si="13"/>
        <v>53.390318909523145</v>
      </c>
      <c r="P49" s="20">
        <f t="shared" si="9"/>
        <v>0</v>
      </c>
      <c r="Q49" s="20">
        <f t="shared" si="10"/>
        <v>0</v>
      </c>
    </row>
    <row r="50" spans="2:20">
      <c r="B50" s="1" t="s">
        <v>116</v>
      </c>
      <c r="C50" s="11">
        <v>4.0000000000000001E-3</v>
      </c>
      <c r="D50" s="1">
        <v>8</v>
      </c>
      <c r="E50" s="22">
        <f t="shared" si="11"/>
        <v>1617.8884518037316</v>
      </c>
      <c r="F50" s="1" t="s">
        <v>55</v>
      </c>
      <c r="G50" s="1">
        <v>295</v>
      </c>
      <c r="H50" s="1" t="s">
        <v>190</v>
      </c>
      <c r="I50" s="32">
        <v>0.11</v>
      </c>
      <c r="J50" s="32"/>
      <c r="K50" s="32"/>
      <c r="L50" s="18">
        <f t="shared" si="12"/>
        <v>105000.96052206219</v>
      </c>
      <c r="M50" s="18">
        <f t="shared" si="7"/>
        <v>0</v>
      </c>
      <c r="N50" s="18">
        <f t="shared" si="8"/>
        <v>0</v>
      </c>
      <c r="O50" s="20">
        <f t="shared" si="13"/>
        <v>105.00096052206219</v>
      </c>
      <c r="P50" s="20">
        <f t="shared" si="9"/>
        <v>0</v>
      </c>
      <c r="Q50" s="20">
        <f t="shared" si="10"/>
        <v>0</v>
      </c>
    </row>
    <row r="51" spans="2:20">
      <c r="B51" s="1" t="s">
        <v>117</v>
      </c>
      <c r="C51" s="11">
        <v>4.0000000000000001E-3</v>
      </c>
      <c r="D51" s="1">
        <v>1</v>
      </c>
      <c r="E51" s="22">
        <f t="shared" si="11"/>
        <v>1617.8884518037316</v>
      </c>
      <c r="F51" s="1" t="s">
        <v>55</v>
      </c>
      <c r="G51" s="1">
        <v>7.1</v>
      </c>
      <c r="H51" s="1" t="s">
        <v>190</v>
      </c>
      <c r="I51" s="32">
        <v>0.11</v>
      </c>
      <c r="J51" s="32"/>
      <c r="K51" s="32"/>
      <c r="L51" s="18">
        <f t="shared" si="12"/>
        <v>2527.1417617174284</v>
      </c>
      <c r="M51" s="18">
        <f t="shared" si="7"/>
        <v>0</v>
      </c>
      <c r="N51" s="18">
        <f t="shared" si="8"/>
        <v>0</v>
      </c>
      <c r="O51" s="20">
        <f t="shared" si="13"/>
        <v>2.5271417617174285</v>
      </c>
      <c r="P51" s="20">
        <f t="shared" si="9"/>
        <v>0</v>
      </c>
      <c r="Q51" s="20">
        <f t="shared" si="10"/>
        <v>0</v>
      </c>
    </row>
    <row r="52" spans="2:20">
      <c r="B52" s="1" t="s">
        <v>118</v>
      </c>
      <c r="C52" s="11">
        <v>4.0000000000000001E-3</v>
      </c>
      <c r="D52" s="1">
        <v>1</v>
      </c>
      <c r="E52" s="22">
        <f t="shared" si="11"/>
        <v>1617.8884518037316</v>
      </c>
      <c r="F52" s="1" t="s">
        <v>56</v>
      </c>
      <c r="G52" s="1">
        <v>113</v>
      </c>
      <c r="H52" s="1" t="s">
        <v>190</v>
      </c>
      <c r="I52" s="32">
        <v>0.11</v>
      </c>
      <c r="J52" s="32"/>
      <c r="K52" s="32"/>
      <c r="L52" s="18">
        <f t="shared" si="12"/>
        <v>40220.706911840767</v>
      </c>
      <c r="M52" s="18">
        <f t="shared" si="7"/>
        <v>0</v>
      </c>
      <c r="N52" s="18">
        <f t="shared" si="8"/>
        <v>0</v>
      </c>
      <c r="O52" s="20">
        <f t="shared" si="13"/>
        <v>40.220706911840765</v>
      </c>
      <c r="P52" s="20">
        <f t="shared" si="9"/>
        <v>0</v>
      </c>
      <c r="Q52" s="20">
        <f t="shared" si="10"/>
        <v>0</v>
      </c>
    </row>
    <row r="53" spans="2:20">
      <c r="B53" s="77" t="s">
        <v>119</v>
      </c>
      <c r="C53" s="97">
        <v>3.0000000000000001E-3</v>
      </c>
      <c r="D53" s="77">
        <v>6</v>
      </c>
      <c r="E53" s="98">
        <f t="shared" si="11"/>
        <v>1213.4163388527988</v>
      </c>
      <c r="F53" s="77" t="s">
        <v>56</v>
      </c>
      <c r="G53" s="77">
        <v>422</v>
      </c>
      <c r="H53" s="77" t="s">
        <v>190</v>
      </c>
      <c r="I53" s="99">
        <v>0.11</v>
      </c>
      <c r="J53" s="99"/>
      <c r="K53" s="99"/>
      <c r="L53" s="100">
        <f t="shared" si="12"/>
        <v>112653.57289909385</v>
      </c>
      <c r="M53" s="100">
        <f t="shared" si="7"/>
        <v>0</v>
      </c>
      <c r="N53" s="100">
        <f t="shared" si="8"/>
        <v>0</v>
      </c>
      <c r="O53" s="63">
        <f t="shared" si="13"/>
        <v>112.65357289909385</v>
      </c>
      <c r="P53" s="63">
        <f t="shared" si="9"/>
        <v>0</v>
      </c>
      <c r="Q53" s="63">
        <f t="shared" si="10"/>
        <v>0</v>
      </c>
    </row>
    <row r="54" spans="2:20">
      <c r="B54" s="1" t="s">
        <v>206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0">
        <f>SUM(O32:O53)</f>
        <v>9172.3678047912272</v>
      </c>
      <c r="P54" s="20">
        <f>SUM(P32:P53)</f>
        <v>0</v>
      </c>
      <c r="Q54" s="20">
        <f>SUM(Q32:Q53)</f>
        <v>0</v>
      </c>
    </row>
    <row r="55" spans="2:20">
      <c r="O55" s="25"/>
      <c r="P55" s="25"/>
      <c r="Q55" s="25"/>
    </row>
    <row r="56" spans="2:20">
      <c r="O56" s="25"/>
      <c r="P56" s="25"/>
      <c r="Q56" s="25"/>
    </row>
    <row r="58" spans="2:20">
      <c r="B58" s="71" t="s">
        <v>153</v>
      </c>
    </row>
    <row r="60" spans="2:20" ht="30">
      <c r="B60" s="13" t="s">
        <v>58</v>
      </c>
      <c r="C60" s="13" t="s">
        <v>128</v>
      </c>
      <c r="D60" s="13" t="s">
        <v>129</v>
      </c>
      <c r="E60" s="13" t="s">
        <v>120</v>
      </c>
      <c r="F60" s="13" t="s">
        <v>130</v>
      </c>
      <c r="G60" s="13" t="s">
        <v>132</v>
      </c>
      <c r="H60" s="13" t="s">
        <v>49</v>
      </c>
      <c r="I60" s="13" t="s">
        <v>50</v>
      </c>
      <c r="J60" s="13" t="s">
        <v>88</v>
      </c>
      <c r="K60" s="101" t="s">
        <v>89</v>
      </c>
      <c r="L60" s="13" t="s">
        <v>52</v>
      </c>
      <c r="M60" s="13" t="s">
        <v>53</v>
      </c>
      <c r="N60" s="13" t="s">
        <v>54</v>
      </c>
      <c r="O60" s="13" t="s">
        <v>52</v>
      </c>
      <c r="P60" s="13" t="s">
        <v>53</v>
      </c>
      <c r="Q60" s="13" t="s">
        <v>54</v>
      </c>
      <c r="R60" s="13" t="s">
        <v>52</v>
      </c>
      <c r="S60" s="13" t="s">
        <v>53</v>
      </c>
      <c r="T60" s="13" t="s">
        <v>54</v>
      </c>
    </row>
    <row r="61" spans="2:20">
      <c r="B61" s="5">
        <v>314869.15263329999</v>
      </c>
      <c r="C61" s="15" t="s">
        <v>56</v>
      </c>
      <c r="D61" s="15" t="s">
        <v>56</v>
      </c>
      <c r="E61" s="7">
        <v>0.64638390089999997</v>
      </c>
      <c r="F61" s="18">
        <f>E61*$B$61</f>
        <v>203526.35115218995</v>
      </c>
      <c r="G61" s="1" t="s">
        <v>56</v>
      </c>
      <c r="H61" s="1" t="s">
        <v>56</v>
      </c>
      <c r="I61" s="1">
        <v>0</v>
      </c>
      <c r="J61" s="23">
        <v>0.7944</v>
      </c>
      <c r="K61" s="19">
        <f>I61*J61*2*F61</f>
        <v>0</v>
      </c>
      <c r="L61" s="29">
        <v>0.03</v>
      </c>
      <c r="M61" s="29"/>
      <c r="N61" s="29"/>
      <c r="O61" s="20">
        <f>L61*$K61</f>
        <v>0</v>
      </c>
      <c r="P61" s="20">
        <f t="shared" ref="P61:Q76" si="14">M61*$K61</f>
        <v>0</v>
      </c>
      <c r="Q61" s="20">
        <f t="shared" si="14"/>
        <v>0</v>
      </c>
      <c r="R61" s="1">
        <f>O61/1000</f>
        <v>0</v>
      </c>
      <c r="S61" s="1">
        <f t="shared" ref="S61:T76" si="15">P61/1000</f>
        <v>0</v>
      </c>
      <c r="T61" s="1">
        <f t="shared" si="15"/>
        <v>0</v>
      </c>
    </row>
    <row r="62" spans="2:20">
      <c r="B62" s="5"/>
      <c r="C62" s="15" t="s">
        <v>56</v>
      </c>
      <c r="D62" s="15" t="s">
        <v>57</v>
      </c>
      <c r="E62" s="7">
        <v>0.14984483000000001</v>
      </c>
      <c r="F62" s="18">
        <f>E62*$B$61</f>
        <v>47181.514648580895</v>
      </c>
      <c r="G62" s="1" t="s">
        <v>56</v>
      </c>
      <c r="H62" s="1" t="s">
        <v>57</v>
      </c>
      <c r="I62" s="1">
        <v>379</v>
      </c>
      <c r="J62" s="23">
        <v>0.7944</v>
      </c>
      <c r="K62" s="19">
        <f>I62*J62*2*F62</f>
        <v>28410594.389519159</v>
      </c>
      <c r="L62" s="29">
        <v>0.03</v>
      </c>
      <c r="M62" s="29"/>
      <c r="N62" s="29"/>
      <c r="O62" s="20">
        <f t="shared" ref="O62:O76" si="16">L62*$K62</f>
        <v>852317.83168557473</v>
      </c>
      <c r="P62" s="20">
        <f t="shared" si="14"/>
        <v>0</v>
      </c>
      <c r="Q62" s="20">
        <f t="shared" si="14"/>
        <v>0</v>
      </c>
      <c r="R62" s="22">
        <f t="shared" ref="R62:R76" si="17">O62/1000</f>
        <v>852.31783168557467</v>
      </c>
      <c r="S62" s="22">
        <f t="shared" si="15"/>
        <v>0</v>
      </c>
      <c r="T62" s="22">
        <f t="shared" si="15"/>
        <v>0</v>
      </c>
    </row>
    <row r="63" spans="2:20">
      <c r="B63" s="5"/>
      <c r="C63" s="15" t="s">
        <v>56</v>
      </c>
      <c r="D63" s="15" t="s">
        <v>55</v>
      </c>
      <c r="E63" s="7">
        <v>7.08995969E-2</v>
      </c>
      <c r="F63" s="18">
        <f>E63*$B$61</f>
        <v>22324.095997945544</v>
      </c>
      <c r="G63" s="1" t="s">
        <v>56</v>
      </c>
      <c r="H63" s="1" t="s">
        <v>55</v>
      </c>
      <c r="I63" s="1">
        <v>858</v>
      </c>
      <c r="J63" s="23">
        <v>0.7944</v>
      </c>
      <c r="K63" s="19">
        <f t="shared" ref="K63:K76" si="18">I63*J63*2*F63</f>
        <v>30431993.353077784</v>
      </c>
      <c r="L63" s="29">
        <v>0.03</v>
      </c>
      <c r="M63" s="29"/>
      <c r="N63" s="29"/>
      <c r="O63" s="20">
        <f t="shared" si="16"/>
        <v>912959.80059233354</v>
      </c>
      <c r="P63" s="20">
        <f t="shared" si="14"/>
        <v>0</v>
      </c>
      <c r="Q63" s="20">
        <f t="shared" si="14"/>
        <v>0</v>
      </c>
      <c r="R63" s="22">
        <f t="shared" si="17"/>
        <v>912.95980059233352</v>
      </c>
      <c r="S63" s="22">
        <f t="shared" si="15"/>
        <v>0</v>
      </c>
      <c r="T63" s="22">
        <f t="shared" si="15"/>
        <v>0</v>
      </c>
    </row>
    <row r="64" spans="2:20">
      <c r="B64" s="5"/>
      <c r="C64" s="15" t="s">
        <v>56</v>
      </c>
      <c r="D64" s="15" t="s">
        <v>91</v>
      </c>
      <c r="E64" s="7">
        <v>0.13287167220000001</v>
      </c>
      <c r="F64" s="18">
        <f>E64*$B$61</f>
        <v>41837.190834583605</v>
      </c>
      <c r="G64" s="1" t="s">
        <v>56</v>
      </c>
      <c r="H64" s="1" t="s">
        <v>131</v>
      </c>
      <c r="I64" s="1">
        <v>964</v>
      </c>
      <c r="J64" s="23">
        <v>0.7944</v>
      </c>
      <c r="K64" s="19">
        <f t="shared" si="18"/>
        <v>64077975.361258924</v>
      </c>
      <c r="L64" s="29">
        <v>0.03</v>
      </c>
      <c r="M64" s="29"/>
      <c r="N64" s="29"/>
      <c r="O64" s="20">
        <f t="shared" si="16"/>
        <v>1922339.2608377677</v>
      </c>
      <c r="P64" s="20">
        <f t="shared" si="14"/>
        <v>0</v>
      </c>
      <c r="Q64" s="20">
        <f t="shared" si="14"/>
        <v>0</v>
      </c>
      <c r="R64" s="22">
        <f t="shared" si="17"/>
        <v>1922.3392608377678</v>
      </c>
      <c r="S64" s="22">
        <f t="shared" si="15"/>
        <v>0</v>
      </c>
      <c r="T64" s="22">
        <f t="shared" si="15"/>
        <v>0</v>
      </c>
    </row>
    <row r="65" spans="2:20">
      <c r="B65" s="5">
        <v>180683.2490865</v>
      </c>
      <c r="C65" s="15" t="s">
        <v>57</v>
      </c>
      <c r="D65" s="15" t="s">
        <v>56</v>
      </c>
      <c r="E65" s="7">
        <v>0.17824116470000001</v>
      </c>
      <c r="F65" s="18">
        <f>E65*$B$65</f>
        <v>32205.192758957972</v>
      </c>
      <c r="G65" s="1" t="s">
        <v>57</v>
      </c>
      <c r="H65" s="1" t="s">
        <v>56</v>
      </c>
      <c r="I65" s="1">
        <v>379</v>
      </c>
      <c r="J65" s="23">
        <v>0.7944</v>
      </c>
      <c r="K65" s="19">
        <f t="shared" si="18"/>
        <v>19392524.286808889</v>
      </c>
      <c r="L65" s="29">
        <v>0.03</v>
      </c>
      <c r="M65" s="29"/>
      <c r="N65" s="29"/>
      <c r="O65" s="20">
        <f t="shared" si="16"/>
        <v>581775.72860426665</v>
      </c>
      <c r="P65" s="20">
        <f t="shared" si="14"/>
        <v>0</v>
      </c>
      <c r="Q65" s="20">
        <f t="shared" si="14"/>
        <v>0</v>
      </c>
      <c r="R65" s="22">
        <f t="shared" si="17"/>
        <v>581.77572860426665</v>
      </c>
      <c r="S65" s="22">
        <f t="shared" si="15"/>
        <v>0</v>
      </c>
      <c r="T65" s="22">
        <f t="shared" si="15"/>
        <v>0</v>
      </c>
    </row>
    <row r="66" spans="2:20">
      <c r="B66" s="5"/>
      <c r="C66" s="15" t="s">
        <v>57</v>
      </c>
      <c r="D66" s="15" t="s">
        <v>57</v>
      </c>
      <c r="E66" s="7">
        <v>0.26391982310000001</v>
      </c>
      <c r="F66" s="18">
        <f>E66*$B$65</f>
        <v>47685.891136042315</v>
      </c>
      <c r="G66" s="1" t="s">
        <v>57</v>
      </c>
      <c r="H66" s="1" t="s">
        <v>57</v>
      </c>
      <c r="I66" s="1">
        <v>0</v>
      </c>
      <c r="J66" s="23">
        <v>0.7944</v>
      </c>
      <c r="K66" s="19">
        <f t="shared" si="18"/>
        <v>0</v>
      </c>
      <c r="L66" s="29">
        <v>0.03</v>
      </c>
      <c r="M66" s="29"/>
      <c r="N66" s="29"/>
      <c r="O66" s="20">
        <f t="shared" si="16"/>
        <v>0</v>
      </c>
      <c r="P66" s="20">
        <f t="shared" si="14"/>
        <v>0</v>
      </c>
      <c r="Q66" s="20">
        <f t="shared" si="14"/>
        <v>0</v>
      </c>
      <c r="R66" s="22">
        <f t="shared" si="17"/>
        <v>0</v>
      </c>
      <c r="S66" s="22">
        <f t="shared" si="15"/>
        <v>0</v>
      </c>
      <c r="T66" s="22">
        <f t="shared" si="15"/>
        <v>0</v>
      </c>
    </row>
    <row r="67" spans="2:20">
      <c r="B67" s="5"/>
      <c r="C67" s="15" t="s">
        <v>57</v>
      </c>
      <c r="D67" s="15" t="s">
        <v>55</v>
      </c>
      <c r="E67" s="7">
        <v>0.20428093260000002</v>
      </c>
      <c r="F67" s="18">
        <f>E67*$B$65</f>
        <v>36910.142628588321</v>
      </c>
      <c r="G67" s="1" t="s">
        <v>57</v>
      </c>
      <c r="H67" s="1" t="s">
        <v>55</v>
      </c>
      <c r="I67" s="1">
        <v>479</v>
      </c>
      <c r="J67" s="23">
        <v>0.7944</v>
      </c>
      <c r="K67" s="19">
        <f t="shared" si="18"/>
        <v>28089917.777376238</v>
      </c>
      <c r="L67" s="29">
        <v>0.03</v>
      </c>
      <c r="M67" s="29"/>
      <c r="N67" s="29"/>
      <c r="O67" s="20">
        <f t="shared" si="16"/>
        <v>842697.53332128713</v>
      </c>
      <c r="P67" s="20">
        <f t="shared" si="14"/>
        <v>0</v>
      </c>
      <c r="Q67" s="20">
        <f t="shared" si="14"/>
        <v>0</v>
      </c>
      <c r="R67" s="22">
        <f t="shared" si="17"/>
        <v>842.6975333212871</v>
      </c>
      <c r="S67" s="22">
        <f t="shared" si="15"/>
        <v>0</v>
      </c>
      <c r="T67" s="22">
        <f t="shared" si="15"/>
        <v>0</v>
      </c>
    </row>
    <row r="68" spans="2:20">
      <c r="B68" s="5"/>
      <c r="C68" s="15" t="s">
        <v>57</v>
      </c>
      <c r="D68" s="15" t="s">
        <v>91</v>
      </c>
      <c r="E68" s="7">
        <v>0.35355807960000002</v>
      </c>
      <c r="F68" s="18">
        <f>E68*$B$65</f>
        <v>63882.022562911399</v>
      </c>
      <c r="G68" s="1" t="s">
        <v>57</v>
      </c>
      <c r="H68" s="1" t="s">
        <v>131</v>
      </c>
      <c r="I68" s="1">
        <v>964</v>
      </c>
      <c r="J68" s="23">
        <v>0.7944</v>
      </c>
      <c r="K68" s="19">
        <f t="shared" si="18"/>
        <v>97841910.179827303</v>
      </c>
      <c r="L68" s="29">
        <v>0.03</v>
      </c>
      <c r="M68" s="29"/>
      <c r="N68" s="29"/>
      <c r="O68" s="20">
        <f t="shared" si="16"/>
        <v>2935257.305394819</v>
      </c>
      <c r="P68" s="20">
        <f t="shared" si="14"/>
        <v>0</v>
      </c>
      <c r="Q68" s="20">
        <f t="shared" si="14"/>
        <v>0</v>
      </c>
      <c r="R68" s="22">
        <f t="shared" si="17"/>
        <v>2935.257305394819</v>
      </c>
      <c r="S68" s="22">
        <f t="shared" si="15"/>
        <v>0</v>
      </c>
      <c r="T68" s="22">
        <f t="shared" si="15"/>
        <v>0</v>
      </c>
    </row>
    <row r="69" spans="2:20">
      <c r="B69" s="5">
        <v>372906.87404561997</v>
      </c>
      <c r="C69" s="15" t="s">
        <v>55</v>
      </c>
      <c r="D69" s="15" t="s">
        <v>56</v>
      </c>
      <c r="E69" s="7">
        <v>0.10020447819999999</v>
      </c>
      <c r="F69" s="18">
        <f>E69*$B$69</f>
        <v>37366.938730934467</v>
      </c>
      <c r="G69" s="1" t="s">
        <v>55</v>
      </c>
      <c r="H69" s="1" t="s">
        <v>56</v>
      </c>
      <c r="I69" s="1">
        <v>858</v>
      </c>
      <c r="J69" s="23">
        <v>0.7944</v>
      </c>
      <c r="K69" s="19">
        <f t="shared" si="18"/>
        <v>50938252.155398048</v>
      </c>
      <c r="L69" s="29">
        <v>0.03</v>
      </c>
      <c r="M69" s="29"/>
      <c r="N69" s="29"/>
      <c r="O69" s="20">
        <f t="shared" si="16"/>
        <v>1528147.5646619415</v>
      </c>
      <c r="P69" s="20">
        <f t="shared" si="14"/>
        <v>0</v>
      </c>
      <c r="Q69" s="20">
        <f t="shared" si="14"/>
        <v>0</v>
      </c>
      <c r="R69" s="22">
        <f t="shared" si="17"/>
        <v>1528.1475646619415</v>
      </c>
      <c r="S69" s="22">
        <f t="shared" si="15"/>
        <v>0</v>
      </c>
      <c r="T69" s="22">
        <f t="shared" si="15"/>
        <v>0</v>
      </c>
    </row>
    <row r="70" spans="2:20">
      <c r="B70" s="5"/>
      <c r="C70" s="15" t="s">
        <v>55</v>
      </c>
      <c r="D70" s="15" t="s">
        <v>57</v>
      </c>
      <c r="E70" s="7">
        <v>0.20175065810000001</v>
      </c>
      <c r="F70" s="18">
        <f>E70*$B$69</f>
        <v>75234.207248717648</v>
      </c>
      <c r="G70" s="1" t="s">
        <v>55</v>
      </c>
      <c r="H70" s="1" t="s">
        <v>57</v>
      </c>
      <c r="I70" s="1">
        <v>479</v>
      </c>
      <c r="J70" s="23">
        <v>0.7944</v>
      </c>
      <c r="K70" s="19">
        <f t="shared" si="18"/>
        <v>57255879.960369289</v>
      </c>
      <c r="L70" s="29">
        <v>0.03</v>
      </c>
      <c r="M70" s="29"/>
      <c r="N70" s="29"/>
      <c r="O70" s="20">
        <f t="shared" si="16"/>
        <v>1717676.3988110786</v>
      </c>
      <c r="P70" s="20">
        <f t="shared" si="14"/>
        <v>0</v>
      </c>
      <c r="Q70" s="20">
        <f t="shared" si="14"/>
        <v>0</v>
      </c>
      <c r="R70" s="22">
        <f t="shared" si="17"/>
        <v>1717.6763988110786</v>
      </c>
      <c r="S70" s="22">
        <f t="shared" si="15"/>
        <v>0</v>
      </c>
      <c r="T70" s="22">
        <f t="shared" si="15"/>
        <v>0</v>
      </c>
    </row>
    <row r="71" spans="2:20">
      <c r="B71" s="5"/>
      <c r="C71" s="15" t="s">
        <v>55</v>
      </c>
      <c r="D71" s="15" t="s">
        <v>55</v>
      </c>
      <c r="E71" s="7">
        <v>0.46703453789999999</v>
      </c>
      <c r="F71" s="18">
        <f>E71*$B$69</f>
        <v>174160.38959962962</v>
      </c>
      <c r="G71" s="1" t="s">
        <v>55</v>
      </c>
      <c r="H71" s="1" t="s">
        <v>55</v>
      </c>
      <c r="I71" s="1">
        <v>0</v>
      </c>
      <c r="J71" s="23">
        <v>0.7944</v>
      </c>
      <c r="K71" s="19">
        <f t="shared" si="18"/>
        <v>0</v>
      </c>
      <c r="L71" s="29">
        <v>0.03</v>
      </c>
      <c r="M71" s="29"/>
      <c r="N71" s="29"/>
      <c r="O71" s="20">
        <f t="shared" si="16"/>
        <v>0</v>
      </c>
      <c r="P71" s="20">
        <f t="shared" si="14"/>
        <v>0</v>
      </c>
      <c r="Q71" s="20">
        <f t="shared" si="14"/>
        <v>0</v>
      </c>
      <c r="R71" s="22">
        <f t="shared" si="17"/>
        <v>0</v>
      </c>
      <c r="S71" s="22">
        <f t="shared" si="15"/>
        <v>0</v>
      </c>
      <c r="T71" s="22">
        <f t="shared" si="15"/>
        <v>0</v>
      </c>
    </row>
    <row r="72" spans="2:20">
      <c r="B72" s="5"/>
      <c r="C72" s="15" t="s">
        <v>55</v>
      </c>
      <c r="D72" s="15" t="s">
        <v>91</v>
      </c>
      <c r="E72" s="7">
        <v>0.23101032579999997</v>
      </c>
      <c r="F72" s="18">
        <f>E72*$B$69</f>
        <v>86145.338466338217</v>
      </c>
      <c r="G72" s="1" t="s">
        <v>55</v>
      </c>
      <c r="H72" s="1" t="s">
        <v>131</v>
      </c>
      <c r="I72" s="1">
        <v>964</v>
      </c>
      <c r="J72" s="23">
        <v>0.7944</v>
      </c>
      <c r="K72" s="19">
        <f t="shared" si="18"/>
        <v>131940476.06012671</v>
      </c>
      <c r="L72" s="29">
        <v>0.03</v>
      </c>
      <c r="M72" s="29"/>
      <c r="N72" s="29"/>
      <c r="O72" s="20">
        <f t="shared" si="16"/>
        <v>3958214.2818038012</v>
      </c>
      <c r="P72" s="20">
        <f t="shared" si="14"/>
        <v>0</v>
      </c>
      <c r="Q72" s="20">
        <f t="shared" si="14"/>
        <v>0</v>
      </c>
      <c r="R72" s="22">
        <f t="shared" si="17"/>
        <v>3958.214281803801</v>
      </c>
      <c r="S72" s="22">
        <f t="shared" si="15"/>
        <v>0</v>
      </c>
      <c r="T72" s="22">
        <f t="shared" si="15"/>
        <v>0</v>
      </c>
    </row>
    <row r="73" spans="2:20">
      <c r="B73" s="5">
        <v>302701.39855480002</v>
      </c>
      <c r="C73" s="15" t="s">
        <v>91</v>
      </c>
      <c r="D73" s="15" t="s">
        <v>56</v>
      </c>
      <c r="E73" s="7">
        <v>0.12867313029999999</v>
      </c>
      <c r="F73" s="18">
        <f>E73*$B$73</f>
        <v>38949.536498234011</v>
      </c>
      <c r="G73" s="1" t="s">
        <v>131</v>
      </c>
      <c r="H73" s="1" t="s">
        <v>56</v>
      </c>
      <c r="I73" s="1">
        <v>964</v>
      </c>
      <c r="J73" s="23">
        <v>0.7944</v>
      </c>
      <c r="K73" s="19">
        <f t="shared" si="18"/>
        <v>59655234.739212006</v>
      </c>
      <c r="L73" s="29">
        <v>0.03</v>
      </c>
      <c r="M73" s="29"/>
      <c r="N73" s="29"/>
      <c r="O73" s="20">
        <f t="shared" si="16"/>
        <v>1789657.04217636</v>
      </c>
      <c r="P73" s="20">
        <f t="shared" si="14"/>
        <v>0</v>
      </c>
      <c r="Q73" s="20">
        <f t="shared" si="14"/>
        <v>0</v>
      </c>
      <c r="R73" s="22">
        <f t="shared" si="17"/>
        <v>1789.6570421763599</v>
      </c>
      <c r="S73" s="22">
        <f t="shared" si="15"/>
        <v>0</v>
      </c>
      <c r="T73" s="22">
        <f t="shared" si="15"/>
        <v>0</v>
      </c>
    </row>
    <row r="74" spans="2:20">
      <c r="B74" s="5"/>
      <c r="C74" s="15" t="s">
        <v>91</v>
      </c>
      <c r="D74" s="15" t="s">
        <v>57</v>
      </c>
      <c r="E74" s="7">
        <v>0.15375113640000002</v>
      </c>
      <c r="F74" s="18">
        <f>E74*$B$73</f>
        <v>46540.684017669824</v>
      </c>
      <c r="G74" s="1" t="s">
        <v>131</v>
      </c>
      <c r="H74" s="1" t="s">
        <v>57</v>
      </c>
      <c r="I74" s="1">
        <v>964</v>
      </c>
      <c r="J74" s="23">
        <v>0.7944</v>
      </c>
      <c r="K74" s="19">
        <f t="shared" si="18"/>
        <v>71281860.571651965</v>
      </c>
      <c r="L74" s="29">
        <v>0.03</v>
      </c>
      <c r="M74" s="29"/>
      <c r="N74" s="29"/>
      <c r="O74" s="20">
        <f t="shared" si="16"/>
        <v>2138455.817149559</v>
      </c>
      <c r="P74" s="20">
        <f t="shared" si="14"/>
        <v>0</v>
      </c>
      <c r="Q74" s="20">
        <f t="shared" si="14"/>
        <v>0</v>
      </c>
      <c r="R74" s="22">
        <f t="shared" si="17"/>
        <v>2138.4558171495592</v>
      </c>
      <c r="S74" s="22">
        <f t="shared" si="15"/>
        <v>0</v>
      </c>
      <c r="T74" s="22">
        <f t="shared" si="15"/>
        <v>0</v>
      </c>
    </row>
    <row r="75" spans="2:20">
      <c r="B75" s="5"/>
      <c r="C75" s="15" t="s">
        <v>91</v>
      </c>
      <c r="D75" s="15" t="s">
        <v>55</v>
      </c>
      <c r="E75" s="7">
        <v>0.1519750721</v>
      </c>
      <c r="F75" s="18">
        <f>E75*$B$73</f>
        <v>46003.066870136565</v>
      </c>
      <c r="G75" s="1" t="s">
        <v>131</v>
      </c>
      <c r="H75" s="1" t="s">
        <v>55</v>
      </c>
      <c r="I75" s="1">
        <v>964</v>
      </c>
      <c r="J75" s="23">
        <v>0.7944</v>
      </c>
      <c r="K75" s="19">
        <f t="shared" si="18"/>
        <v>70458444.428115144</v>
      </c>
      <c r="L75" s="29">
        <v>0.03</v>
      </c>
      <c r="M75" s="29"/>
      <c r="N75" s="29"/>
      <c r="O75" s="20">
        <f t="shared" si="16"/>
        <v>2113753.3328434541</v>
      </c>
      <c r="P75" s="20">
        <f t="shared" si="14"/>
        <v>0</v>
      </c>
      <c r="Q75" s="20">
        <f t="shared" si="14"/>
        <v>0</v>
      </c>
      <c r="R75" s="22">
        <f t="shared" si="17"/>
        <v>2113.7533328434542</v>
      </c>
      <c r="S75" s="22">
        <f t="shared" si="15"/>
        <v>0</v>
      </c>
      <c r="T75" s="22">
        <f t="shared" si="15"/>
        <v>0</v>
      </c>
    </row>
    <row r="76" spans="2:20">
      <c r="B76" s="5"/>
      <c r="C76" s="15" t="s">
        <v>91</v>
      </c>
      <c r="D76" s="15" t="s">
        <v>91</v>
      </c>
      <c r="E76" s="7">
        <v>0.56560066119999997</v>
      </c>
      <c r="F76" s="18">
        <f>E76*$B$73</f>
        <v>171208.11116875961</v>
      </c>
      <c r="G76" s="1" t="s">
        <v>131</v>
      </c>
      <c r="H76" s="1" t="s">
        <v>131</v>
      </c>
      <c r="I76" s="1">
        <v>0</v>
      </c>
      <c r="J76" s="23">
        <v>0.7944</v>
      </c>
      <c r="K76" s="19">
        <f t="shared" si="18"/>
        <v>0</v>
      </c>
      <c r="L76" s="29">
        <v>0.03</v>
      </c>
      <c r="M76" s="29"/>
      <c r="N76" s="29"/>
      <c r="O76" s="20">
        <f t="shared" si="16"/>
        <v>0</v>
      </c>
      <c r="P76" s="20">
        <f t="shared" si="14"/>
        <v>0</v>
      </c>
      <c r="Q76" s="20">
        <f t="shared" si="14"/>
        <v>0</v>
      </c>
      <c r="R76" s="22">
        <f t="shared" si="17"/>
        <v>0</v>
      </c>
      <c r="S76" s="22">
        <f t="shared" si="15"/>
        <v>0</v>
      </c>
      <c r="T76" s="22">
        <f t="shared" si="15"/>
        <v>0</v>
      </c>
    </row>
    <row r="77" spans="2:20">
      <c r="B77" s="27" t="s">
        <v>451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>
        <f>SUM(R61:R76)</f>
        <v>21293.251897882245</v>
      </c>
      <c r="S77" s="1">
        <f>SUM(S61:S76)</f>
        <v>0</v>
      </c>
      <c r="T77" s="1">
        <f>SUM(T61:T76)</f>
        <v>0</v>
      </c>
    </row>
    <row r="78" spans="2:20">
      <c r="B78" t="s">
        <v>133</v>
      </c>
      <c r="R78" s="122"/>
    </row>
    <row r="79" spans="2:20">
      <c r="J79" s="24"/>
    </row>
    <row r="81" spans="2:20">
      <c r="B81" s="71" t="s">
        <v>154</v>
      </c>
    </row>
    <row r="83" spans="2:20" ht="30">
      <c r="B83" s="13" t="s">
        <v>58</v>
      </c>
      <c r="C83" s="13" t="s">
        <v>128</v>
      </c>
      <c r="D83" s="13" t="s">
        <v>129</v>
      </c>
      <c r="E83" s="13" t="s">
        <v>120</v>
      </c>
      <c r="F83" s="13" t="s">
        <v>130</v>
      </c>
      <c r="G83" s="13" t="s">
        <v>132</v>
      </c>
      <c r="H83" s="13" t="s">
        <v>49</v>
      </c>
      <c r="I83" s="13" t="s">
        <v>50</v>
      </c>
      <c r="J83" s="13" t="s">
        <v>88</v>
      </c>
      <c r="K83" s="101" t="s">
        <v>89</v>
      </c>
      <c r="L83" s="13" t="s">
        <v>52</v>
      </c>
      <c r="M83" s="13" t="s">
        <v>53</v>
      </c>
      <c r="N83" s="13" t="s">
        <v>54</v>
      </c>
      <c r="O83" s="13" t="s">
        <v>52</v>
      </c>
      <c r="P83" s="13" t="s">
        <v>53</v>
      </c>
      <c r="Q83" s="13" t="s">
        <v>54</v>
      </c>
      <c r="R83" s="13" t="s">
        <v>52</v>
      </c>
      <c r="S83" s="13" t="s">
        <v>53</v>
      </c>
      <c r="T83" s="13" t="s">
        <v>54</v>
      </c>
    </row>
    <row r="84" spans="2:20">
      <c r="B84" s="141">
        <v>314869.15263329999</v>
      </c>
      <c r="C84" s="15" t="s">
        <v>56</v>
      </c>
      <c r="D84" s="15" t="s">
        <v>56</v>
      </c>
      <c r="E84" s="7">
        <v>0.64638390089999997</v>
      </c>
      <c r="F84" s="18">
        <f>E84*$B$61</f>
        <v>203526.35115218995</v>
      </c>
      <c r="G84" s="1" t="s">
        <v>56</v>
      </c>
      <c r="H84" s="1" t="s">
        <v>56</v>
      </c>
      <c r="I84" s="1">
        <v>0</v>
      </c>
      <c r="J84" s="23">
        <v>0.16619999999999999</v>
      </c>
      <c r="K84" s="19">
        <f>I84*J84*2*F84</f>
        <v>0</v>
      </c>
      <c r="L84" s="32">
        <v>0.11</v>
      </c>
      <c r="M84" s="32"/>
      <c r="N84" s="32"/>
      <c r="O84" s="20">
        <f>L84*$K84</f>
        <v>0</v>
      </c>
      <c r="P84" s="20">
        <f t="shared" ref="P84:P99" si="19">M84*$K84</f>
        <v>0</v>
      </c>
      <c r="Q84" s="20">
        <f t="shared" ref="Q84:Q99" si="20">N84*$K84</f>
        <v>0</v>
      </c>
      <c r="R84" s="1">
        <f>O84/1000</f>
        <v>0</v>
      </c>
      <c r="S84" s="1">
        <f t="shared" ref="S84:S99" si="21">P84/1000</f>
        <v>0</v>
      </c>
      <c r="T84" s="1">
        <f t="shared" ref="T84:T99" si="22">Q84/1000</f>
        <v>0</v>
      </c>
    </row>
    <row r="85" spans="2:20">
      <c r="B85" s="142"/>
      <c r="C85" s="15" t="s">
        <v>56</v>
      </c>
      <c r="D85" s="15" t="s">
        <v>57</v>
      </c>
      <c r="E85" s="7">
        <v>0.14984483000000001</v>
      </c>
      <c r="F85" s="18">
        <f>E85*$B$61</f>
        <v>47181.514648580895</v>
      </c>
      <c r="G85" s="1" t="s">
        <v>56</v>
      </c>
      <c r="H85" s="1" t="s">
        <v>57</v>
      </c>
      <c r="I85" s="1">
        <v>379</v>
      </c>
      <c r="J85" s="23">
        <v>0.16619999999999999</v>
      </c>
      <c r="K85" s="19">
        <f>I85*J85*2*F85</f>
        <v>5943908.3428223608</v>
      </c>
      <c r="L85" s="32">
        <v>0.11</v>
      </c>
      <c r="M85" s="32"/>
      <c r="N85" s="32"/>
      <c r="O85" s="20">
        <f t="shared" ref="O85:O99" si="23">L85*$K85</f>
        <v>653829.91771045967</v>
      </c>
      <c r="P85" s="20">
        <f t="shared" si="19"/>
        <v>0</v>
      </c>
      <c r="Q85" s="20">
        <f t="shared" si="20"/>
        <v>0</v>
      </c>
      <c r="R85" s="22">
        <f t="shared" ref="R85:R99" si="24">O85/1000</f>
        <v>653.82991771045965</v>
      </c>
      <c r="S85" s="22">
        <f t="shared" si="21"/>
        <v>0</v>
      </c>
      <c r="T85" s="22">
        <f t="shared" si="22"/>
        <v>0</v>
      </c>
    </row>
    <row r="86" spans="2:20">
      <c r="B86" s="142"/>
      <c r="C86" s="15" t="s">
        <v>56</v>
      </c>
      <c r="D86" s="15" t="s">
        <v>55</v>
      </c>
      <c r="E86" s="7">
        <v>7.08995969E-2</v>
      </c>
      <c r="F86" s="18">
        <f>E86*$B$61</f>
        <v>22324.095997945544</v>
      </c>
      <c r="G86" s="1" t="s">
        <v>56</v>
      </c>
      <c r="H86" s="1" t="s">
        <v>55</v>
      </c>
      <c r="I86" s="1">
        <v>858</v>
      </c>
      <c r="J86" s="23">
        <v>0.16619999999999999</v>
      </c>
      <c r="K86" s="19">
        <f t="shared" ref="K86:K99" si="25">I86*J86*2*F86</f>
        <v>6366814.3193372702</v>
      </c>
      <c r="L86" s="32">
        <v>0.11</v>
      </c>
      <c r="M86" s="32"/>
      <c r="N86" s="32"/>
      <c r="O86" s="20">
        <f t="shared" si="23"/>
        <v>700349.57512709976</v>
      </c>
      <c r="P86" s="20">
        <f t="shared" si="19"/>
        <v>0</v>
      </c>
      <c r="Q86" s="20">
        <f t="shared" si="20"/>
        <v>0</v>
      </c>
      <c r="R86" s="22">
        <f t="shared" si="24"/>
        <v>700.3495751270998</v>
      </c>
      <c r="S86" s="22">
        <f t="shared" si="21"/>
        <v>0</v>
      </c>
      <c r="T86" s="22">
        <f t="shared" si="22"/>
        <v>0</v>
      </c>
    </row>
    <row r="87" spans="2:20">
      <c r="B87" s="143"/>
      <c r="C87" s="15" t="s">
        <v>56</v>
      </c>
      <c r="D87" s="15" t="s">
        <v>91</v>
      </c>
      <c r="E87" s="7">
        <v>0.13287167220000001</v>
      </c>
      <c r="F87" s="18">
        <f>E87*$B$61</f>
        <v>41837.190834583605</v>
      </c>
      <c r="G87" s="1" t="s">
        <v>56</v>
      </c>
      <c r="H87" s="1" t="s">
        <v>131</v>
      </c>
      <c r="I87" s="1">
        <v>964</v>
      </c>
      <c r="J87" s="23">
        <v>0.16619999999999999</v>
      </c>
      <c r="K87" s="19">
        <f t="shared" si="25"/>
        <v>13406041.673012627</v>
      </c>
      <c r="L87" s="32">
        <v>0.11</v>
      </c>
      <c r="M87" s="32"/>
      <c r="N87" s="32"/>
      <c r="O87" s="20">
        <f t="shared" si="23"/>
        <v>1474664.5840313891</v>
      </c>
      <c r="P87" s="20">
        <f t="shared" si="19"/>
        <v>0</v>
      </c>
      <c r="Q87" s="20">
        <f t="shared" si="20"/>
        <v>0</v>
      </c>
      <c r="R87" s="22">
        <f t="shared" si="24"/>
        <v>1474.664584031389</v>
      </c>
      <c r="S87" s="22">
        <f t="shared" si="21"/>
        <v>0</v>
      </c>
      <c r="T87" s="22">
        <f t="shared" si="22"/>
        <v>0</v>
      </c>
    </row>
    <row r="88" spans="2:20">
      <c r="B88" s="141">
        <v>180683.2490865</v>
      </c>
      <c r="C88" s="15" t="s">
        <v>57</v>
      </c>
      <c r="D88" s="15" t="s">
        <v>56</v>
      </c>
      <c r="E88" s="7">
        <v>0.17824116470000001</v>
      </c>
      <c r="F88" s="18">
        <f>E88*$B$65</f>
        <v>32205.192758957972</v>
      </c>
      <c r="G88" s="1" t="s">
        <v>57</v>
      </c>
      <c r="H88" s="1" t="s">
        <v>56</v>
      </c>
      <c r="I88" s="1">
        <v>379</v>
      </c>
      <c r="J88" s="23">
        <v>0.16619999999999999</v>
      </c>
      <c r="K88" s="19">
        <f t="shared" si="25"/>
        <v>4057197.3016964216</v>
      </c>
      <c r="L88" s="32">
        <v>0.11</v>
      </c>
      <c r="M88" s="32"/>
      <c r="N88" s="32"/>
      <c r="O88" s="20">
        <f t="shared" si="23"/>
        <v>446291.70318660635</v>
      </c>
      <c r="P88" s="20">
        <f t="shared" si="19"/>
        <v>0</v>
      </c>
      <c r="Q88" s="20">
        <f t="shared" si="20"/>
        <v>0</v>
      </c>
      <c r="R88" s="22">
        <f t="shared" si="24"/>
        <v>446.29170318660636</v>
      </c>
      <c r="S88" s="22">
        <f t="shared" si="21"/>
        <v>0</v>
      </c>
      <c r="T88" s="22">
        <f t="shared" si="22"/>
        <v>0</v>
      </c>
    </row>
    <row r="89" spans="2:20">
      <c r="B89" s="142"/>
      <c r="C89" s="15" t="s">
        <v>57</v>
      </c>
      <c r="D89" s="15" t="s">
        <v>57</v>
      </c>
      <c r="E89" s="7">
        <v>0.26391982310000001</v>
      </c>
      <c r="F89" s="18">
        <f>E89*$B$65</f>
        <v>47685.891136042315</v>
      </c>
      <c r="G89" s="1" t="s">
        <v>57</v>
      </c>
      <c r="H89" s="1" t="s">
        <v>57</v>
      </c>
      <c r="I89" s="1">
        <v>0</v>
      </c>
      <c r="J89" s="23">
        <v>0.16619999999999999</v>
      </c>
      <c r="K89" s="19">
        <f t="shared" si="25"/>
        <v>0</v>
      </c>
      <c r="L89" s="32">
        <v>0.11</v>
      </c>
      <c r="M89" s="32"/>
      <c r="N89" s="32"/>
      <c r="O89" s="20">
        <f t="shared" si="23"/>
        <v>0</v>
      </c>
      <c r="P89" s="20">
        <f t="shared" si="19"/>
        <v>0</v>
      </c>
      <c r="Q89" s="20">
        <f t="shared" si="20"/>
        <v>0</v>
      </c>
      <c r="R89" s="22">
        <f t="shared" si="24"/>
        <v>0</v>
      </c>
      <c r="S89" s="22">
        <f t="shared" si="21"/>
        <v>0</v>
      </c>
      <c r="T89" s="22">
        <f t="shared" si="22"/>
        <v>0</v>
      </c>
    </row>
    <row r="90" spans="2:20">
      <c r="B90" s="142"/>
      <c r="C90" s="15" t="s">
        <v>57</v>
      </c>
      <c r="D90" s="15" t="s">
        <v>55</v>
      </c>
      <c r="E90" s="7">
        <v>0.20428093260000002</v>
      </c>
      <c r="F90" s="18">
        <f>E90*$B$65</f>
        <v>36910.142628588321</v>
      </c>
      <c r="G90" s="1" t="s">
        <v>57</v>
      </c>
      <c r="H90" s="1" t="s">
        <v>55</v>
      </c>
      <c r="I90" s="1">
        <v>479</v>
      </c>
      <c r="J90" s="23">
        <v>0.16619999999999999</v>
      </c>
      <c r="K90" s="19">
        <f t="shared" si="25"/>
        <v>5876818.1452667806</v>
      </c>
      <c r="L90" s="32">
        <v>0.11</v>
      </c>
      <c r="M90" s="32"/>
      <c r="N90" s="32"/>
      <c r="O90" s="20">
        <f t="shared" si="23"/>
        <v>646449.99597934587</v>
      </c>
      <c r="P90" s="20">
        <f t="shared" si="19"/>
        <v>0</v>
      </c>
      <c r="Q90" s="20">
        <f t="shared" si="20"/>
        <v>0</v>
      </c>
      <c r="R90" s="22">
        <f t="shared" si="24"/>
        <v>646.44999597934589</v>
      </c>
      <c r="S90" s="22">
        <f t="shared" si="21"/>
        <v>0</v>
      </c>
      <c r="T90" s="22">
        <f t="shared" si="22"/>
        <v>0</v>
      </c>
    </row>
    <row r="91" spans="2:20">
      <c r="B91" s="143"/>
      <c r="C91" s="15" t="s">
        <v>57</v>
      </c>
      <c r="D91" s="15" t="s">
        <v>91</v>
      </c>
      <c r="E91" s="7">
        <v>0.35355807960000002</v>
      </c>
      <c r="F91" s="18">
        <f>E91*$B$65</f>
        <v>63882.022562911399</v>
      </c>
      <c r="G91" s="1" t="s">
        <v>57</v>
      </c>
      <c r="H91" s="1" t="s">
        <v>131</v>
      </c>
      <c r="I91" s="1">
        <v>964</v>
      </c>
      <c r="J91" s="23">
        <v>0.16619999999999999</v>
      </c>
      <c r="K91" s="19">
        <f t="shared" si="25"/>
        <v>20469946.465114925</v>
      </c>
      <c r="L91" s="32">
        <v>0.11</v>
      </c>
      <c r="M91" s="32"/>
      <c r="N91" s="32"/>
      <c r="O91" s="20">
        <f t="shared" si="23"/>
        <v>2251694.1111626416</v>
      </c>
      <c r="P91" s="20">
        <f t="shared" si="19"/>
        <v>0</v>
      </c>
      <c r="Q91" s="20">
        <f t="shared" si="20"/>
        <v>0</v>
      </c>
      <c r="R91" s="22">
        <f t="shared" si="24"/>
        <v>2251.6941111626415</v>
      </c>
      <c r="S91" s="22">
        <f t="shared" si="21"/>
        <v>0</v>
      </c>
      <c r="T91" s="22">
        <f t="shared" si="22"/>
        <v>0</v>
      </c>
    </row>
    <row r="92" spans="2:20">
      <c r="B92" s="141">
        <v>372906.87404561997</v>
      </c>
      <c r="C92" s="15" t="s">
        <v>55</v>
      </c>
      <c r="D92" s="15" t="s">
        <v>56</v>
      </c>
      <c r="E92" s="7">
        <v>0.10020447819999999</v>
      </c>
      <c r="F92" s="18">
        <f>E92*$B$69</f>
        <v>37366.938730934467</v>
      </c>
      <c r="G92" s="1" t="s">
        <v>55</v>
      </c>
      <c r="H92" s="1" t="s">
        <v>56</v>
      </c>
      <c r="I92" s="1">
        <v>858</v>
      </c>
      <c r="J92" s="23">
        <v>0.16619999999999999</v>
      </c>
      <c r="K92" s="19">
        <f t="shared" si="25"/>
        <v>10657021.032511525</v>
      </c>
      <c r="L92" s="32">
        <v>0.11</v>
      </c>
      <c r="M92" s="32"/>
      <c r="N92" s="32"/>
      <c r="O92" s="20">
        <f t="shared" si="23"/>
        <v>1172272.3135762678</v>
      </c>
      <c r="P92" s="20">
        <f t="shared" si="19"/>
        <v>0</v>
      </c>
      <c r="Q92" s="20">
        <f t="shared" si="20"/>
        <v>0</v>
      </c>
      <c r="R92" s="22">
        <f t="shared" si="24"/>
        <v>1172.2723135762678</v>
      </c>
      <c r="S92" s="22">
        <f t="shared" si="21"/>
        <v>0</v>
      </c>
      <c r="T92" s="22">
        <f t="shared" si="22"/>
        <v>0</v>
      </c>
    </row>
    <row r="93" spans="2:20">
      <c r="B93" s="142"/>
      <c r="C93" s="15" t="s">
        <v>55</v>
      </c>
      <c r="D93" s="15" t="s">
        <v>57</v>
      </c>
      <c r="E93" s="7">
        <v>0.20175065810000001</v>
      </c>
      <c r="F93" s="18">
        <f>E93*$B$69</f>
        <v>75234.207248717648</v>
      </c>
      <c r="G93" s="1" t="s">
        <v>55</v>
      </c>
      <c r="H93" s="1" t="s">
        <v>57</v>
      </c>
      <c r="I93" s="1">
        <v>479</v>
      </c>
      <c r="J93" s="23">
        <v>0.16619999999999999</v>
      </c>
      <c r="K93" s="19">
        <f t="shared" si="25"/>
        <v>11978760.384457923</v>
      </c>
      <c r="L93" s="32">
        <v>0.11</v>
      </c>
      <c r="M93" s="32"/>
      <c r="N93" s="32"/>
      <c r="O93" s="20">
        <f t="shared" si="23"/>
        <v>1317663.6422903717</v>
      </c>
      <c r="P93" s="20">
        <f t="shared" si="19"/>
        <v>0</v>
      </c>
      <c r="Q93" s="20">
        <f t="shared" si="20"/>
        <v>0</v>
      </c>
      <c r="R93" s="22">
        <f t="shared" si="24"/>
        <v>1317.6636422903716</v>
      </c>
      <c r="S93" s="22">
        <f t="shared" si="21"/>
        <v>0</v>
      </c>
      <c r="T93" s="22">
        <f t="shared" si="22"/>
        <v>0</v>
      </c>
    </row>
    <row r="94" spans="2:20">
      <c r="B94" s="142"/>
      <c r="C94" s="15" t="s">
        <v>55</v>
      </c>
      <c r="D94" s="15" t="s">
        <v>55</v>
      </c>
      <c r="E94" s="7">
        <v>0.46703453789999999</v>
      </c>
      <c r="F94" s="18">
        <f>E94*$B$69</f>
        <v>174160.38959962962</v>
      </c>
      <c r="G94" s="1" t="s">
        <v>55</v>
      </c>
      <c r="H94" s="1" t="s">
        <v>55</v>
      </c>
      <c r="I94" s="1">
        <v>0</v>
      </c>
      <c r="J94" s="23">
        <v>0.16619999999999999</v>
      </c>
      <c r="K94" s="19">
        <f t="shared" si="25"/>
        <v>0</v>
      </c>
      <c r="L94" s="32">
        <v>0.11</v>
      </c>
      <c r="M94" s="32"/>
      <c r="N94" s="32"/>
      <c r="O94" s="20">
        <f t="shared" si="23"/>
        <v>0</v>
      </c>
      <c r="P94" s="20">
        <f t="shared" si="19"/>
        <v>0</v>
      </c>
      <c r="Q94" s="20">
        <f t="shared" si="20"/>
        <v>0</v>
      </c>
      <c r="R94" s="22">
        <f t="shared" si="24"/>
        <v>0</v>
      </c>
      <c r="S94" s="22">
        <f t="shared" si="21"/>
        <v>0</v>
      </c>
      <c r="T94" s="22">
        <f t="shared" si="22"/>
        <v>0</v>
      </c>
    </row>
    <row r="95" spans="2:20">
      <c r="B95" s="143"/>
      <c r="C95" s="15" t="s">
        <v>55</v>
      </c>
      <c r="D95" s="15" t="s">
        <v>91</v>
      </c>
      <c r="E95" s="7">
        <v>0.23101032579999997</v>
      </c>
      <c r="F95" s="18">
        <f>E95*$B$69</f>
        <v>86145.338466338217</v>
      </c>
      <c r="G95" s="1" t="s">
        <v>55</v>
      </c>
      <c r="H95" s="1" t="s">
        <v>131</v>
      </c>
      <c r="I95" s="1">
        <v>964</v>
      </c>
      <c r="J95" s="23">
        <v>0.16619999999999999</v>
      </c>
      <c r="K95" s="19">
        <f t="shared" si="25"/>
        <v>27603860.927987229</v>
      </c>
      <c r="L95" s="32">
        <v>0.11</v>
      </c>
      <c r="M95" s="32"/>
      <c r="N95" s="32"/>
      <c r="O95" s="20">
        <f t="shared" si="23"/>
        <v>3036424.7020785953</v>
      </c>
      <c r="P95" s="20">
        <f t="shared" si="19"/>
        <v>0</v>
      </c>
      <c r="Q95" s="20">
        <f t="shared" si="20"/>
        <v>0</v>
      </c>
      <c r="R95" s="22">
        <f t="shared" si="24"/>
        <v>3036.4247020785951</v>
      </c>
      <c r="S95" s="22">
        <f t="shared" si="21"/>
        <v>0</v>
      </c>
      <c r="T95" s="22">
        <f t="shared" si="22"/>
        <v>0</v>
      </c>
    </row>
    <row r="96" spans="2:20">
      <c r="B96" s="141">
        <v>302701.39855480002</v>
      </c>
      <c r="C96" s="15" t="s">
        <v>91</v>
      </c>
      <c r="D96" s="15" t="s">
        <v>56</v>
      </c>
      <c r="E96" s="7">
        <v>0.12867313029999999</v>
      </c>
      <c r="F96" s="18">
        <f>E96*$B$73</f>
        <v>38949.536498234011</v>
      </c>
      <c r="G96" s="1" t="s">
        <v>131</v>
      </c>
      <c r="H96" s="1" t="s">
        <v>56</v>
      </c>
      <c r="I96" s="1">
        <v>964</v>
      </c>
      <c r="J96" s="23">
        <v>0.16619999999999999</v>
      </c>
      <c r="K96" s="19">
        <f t="shared" si="25"/>
        <v>12480740.198460516</v>
      </c>
      <c r="L96" s="32">
        <v>0.11</v>
      </c>
      <c r="M96" s="32"/>
      <c r="N96" s="32"/>
      <c r="O96" s="20">
        <f t="shared" si="23"/>
        <v>1372881.4218306567</v>
      </c>
      <c r="P96" s="20">
        <f t="shared" si="19"/>
        <v>0</v>
      </c>
      <c r="Q96" s="20">
        <f t="shared" si="20"/>
        <v>0</v>
      </c>
      <c r="R96" s="22">
        <f t="shared" si="24"/>
        <v>1372.8814218306568</v>
      </c>
      <c r="S96" s="22">
        <f t="shared" si="21"/>
        <v>0</v>
      </c>
      <c r="T96" s="22">
        <f t="shared" si="22"/>
        <v>0</v>
      </c>
    </row>
    <row r="97" spans="2:20">
      <c r="B97" s="142"/>
      <c r="C97" s="15" t="s">
        <v>91</v>
      </c>
      <c r="D97" s="15" t="s">
        <v>57</v>
      </c>
      <c r="E97" s="7">
        <v>0.15375113640000002</v>
      </c>
      <c r="F97" s="18">
        <f>E97*$B$73</f>
        <v>46540.684017669824</v>
      </c>
      <c r="G97" s="1" t="s">
        <v>131</v>
      </c>
      <c r="H97" s="1" t="s">
        <v>57</v>
      </c>
      <c r="I97" s="1">
        <v>964</v>
      </c>
      <c r="J97" s="23">
        <v>0.16619999999999999</v>
      </c>
      <c r="K97" s="19">
        <f t="shared" si="25"/>
        <v>14913198.926244404</v>
      </c>
      <c r="L97" s="32">
        <v>0.11</v>
      </c>
      <c r="M97" s="32"/>
      <c r="N97" s="32"/>
      <c r="O97" s="20">
        <f t="shared" si="23"/>
        <v>1640451.8818868846</v>
      </c>
      <c r="P97" s="20">
        <f t="shared" si="19"/>
        <v>0</v>
      </c>
      <c r="Q97" s="20">
        <f t="shared" si="20"/>
        <v>0</v>
      </c>
      <c r="R97" s="22">
        <f t="shared" si="24"/>
        <v>1640.4518818868846</v>
      </c>
      <c r="S97" s="22">
        <f t="shared" si="21"/>
        <v>0</v>
      </c>
      <c r="T97" s="22">
        <f t="shared" si="22"/>
        <v>0</v>
      </c>
    </row>
    <row r="98" spans="2:20">
      <c r="B98" s="142"/>
      <c r="C98" s="15" t="s">
        <v>91</v>
      </c>
      <c r="D98" s="15" t="s">
        <v>55</v>
      </c>
      <c r="E98" s="7">
        <v>0.1519750721</v>
      </c>
      <c r="F98" s="18">
        <f>E98*$B$73</f>
        <v>46003.066870136565</v>
      </c>
      <c r="G98" s="1" t="s">
        <v>131</v>
      </c>
      <c r="H98" s="1" t="s">
        <v>55</v>
      </c>
      <c r="I98" s="1">
        <v>964</v>
      </c>
      <c r="J98" s="23">
        <v>0.16619999999999999</v>
      </c>
      <c r="K98" s="19">
        <f t="shared" si="25"/>
        <v>14740928.32823859</v>
      </c>
      <c r="L98" s="32">
        <v>0.11</v>
      </c>
      <c r="M98" s="32"/>
      <c r="N98" s="32"/>
      <c r="O98" s="20">
        <f t="shared" si="23"/>
        <v>1621502.116106245</v>
      </c>
      <c r="P98" s="20">
        <f t="shared" si="19"/>
        <v>0</v>
      </c>
      <c r="Q98" s="20">
        <f t="shared" si="20"/>
        <v>0</v>
      </c>
      <c r="R98" s="22">
        <f t="shared" si="24"/>
        <v>1621.502116106245</v>
      </c>
      <c r="S98" s="22">
        <f t="shared" si="21"/>
        <v>0</v>
      </c>
      <c r="T98" s="22">
        <f t="shared" si="22"/>
        <v>0</v>
      </c>
    </row>
    <row r="99" spans="2:20">
      <c r="B99" s="143"/>
      <c r="C99" s="15" t="s">
        <v>91</v>
      </c>
      <c r="D99" s="15" t="s">
        <v>91</v>
      </c>
      <c r="E99" s="7">
        <v>0.56560066119999997</v>
      </c>
      <c r="F99" s="18">
        <f>E99*$B$73</f>
        <v>171208.11116875961</v>
      </c>
      <c r="G99" s="1" t="s">
        <v>131</v>
      </c>
      <c r="H99" s="1" t="s">
        <v>131</v>
      </c>
      <c r="I99" s="1">
        <v>0</v>
      </c>
      <c r="J99" s="23">
        <v>0.16619999999999999</v>
      </c>
      <c r="K99" s="19">
        <f t="shared" si="25"/>
        <v>0</v>
      </c>
      <c r="L99" s="32">
        <v>0.11</v>
      </c>
      <c r="M99" s="32"/>
      <c r="N99" s="32"/>
      <c r="O99" s="20">
        <f t="shared" si="23"/>
        <v>0</v>
      </c>
      <c r="P99" s="20">
        <f t="shared" si="19"/>
        <v>0</v>
      </c>
      <c r="Q99" s="20">
        <f t="shared" si="20"/>
        <v>0</v>
      </c>
      <c r="R99" s="22">
        <f t="shared" si="24"/>
        <v>0</v>
      </c>
      <c r="S99" s="22">
        <f t="shared" si="21"/>
        <v>0</v>
      </c>
      <c r="T99" s="22">
        <f t="shared" si="22"/>
        <v>0</v>
      </c>
    </row>
    <row r="100" spans="2:20">
      <c r="B100" s="8"/>
      <c r="Q100" t="s">
        <v>206</v>
      </c>
      <c r="R100" s="122">
        <f>SUM(R84:R99)</f>
        <v>16334.475964966563</v>
      </c>
    </row>
    <row r="102" spans="2:20">
      <c r="B102" s="71" t="s">
        <v>227</v>
      </c>
    </row>
    <row r="104" spans="2:20" ht="60">
      <c r="B104" s="13" t="s">
        <v>180</v>
      </c>
      <c r="C104" s="13" t="s">
        <v>125</v>
      </c>
      <c r="D104" s="13"/>
      <c r="E104" s="13" t="s">
        <v>207</v>
      </c>
      <c r="F104" s="13" t="s">
        <v>177</v>
      </c>
      <c r="G104" s="13" t="s">
        <v>151</v>
      </c>
      <c r="H104" s="13" t="s">
        <v>229</v>
      </c>
      <c r="I104" s="13" t="s">
        <v>126</v>
      </c>
      <c r="J104" s="13" t="s">
        <v>52</v>
      </c>
      <c r="K104" s="13" t="s">
        <v>53</v>
      </c>
      <c r="L104" s="13" t="s">
        <v>54</v>
      </c>
      <c r="M104" s="13" t="s">
        <v>52</v>
      </c>
      <c r="N104" s="13" t="s">
        <v>53</v>
      </c>
      <c r="O104" s="13" t="s">
        <v>54</v>
      </c>
      <c r="P104" s="13" t="s">
        <v>52</v>
      </c>
      <c r="Q104" s="13" t="s">
        <v>53</v>
      </c>
      <c r="R104" s="13" t="s">
        <v>54</v>
      </c>
    </row>
    <row r="105" spans="2:20">
      <c r="B105" s="30" t="s">
        <v>160</v>
      </c>
      <c r="C105" s="1">
        <v>243001</v>
      </c>
      <c r="D105" s="1"/>
      <c r="E105" s="1" t="s">
        <v>210</v>
      </c>
      <c r="F105" s="1" t="s">
        <v>56</v>
      </c>
      <c r="G105" s="1">
        <v>152</v>
      </c>
      <c r="H105" s="1">
        <v>116</v>
      </c>
      <c r="I105" s="1" t="s">
        <v>152</v>
      </c>
      <c r="J105" s="29">
        <v>0.03</v>
      </c>
      <c r="K105" s="29"/>
      <c r="L105" s="26"/>
      <c r="M105" s="18">
        <f>J105*$G105*$C105*0.7944</f>
        <v>880262.37446399988</v>
      </c>
      <c r="N105" s="18">
        <f t="shared" ref="N105:N123" si="26">K105*$G105*$C105*2</f>
        <v>0</v>
      </c>
      <c r="O105" s="18">
        <f t="shared" ref="O105:O123" si="27">L105*$G105*$C105*2</f>
        <v>0</v>
      </c>
      <c r="P105" s="20">
        <f>M105/1000</f>
        <v>880.26237446399989</v>
      </c>
      <c r="Q105" s="20">
        <f t="shared" ref="Q105:Q123" si="28">N105/1000</f>
        <v>0</v>
      </c>
      <c r="R105" s="20">
        <f t="shared" ref="R105:R123" si="29">O105/1000</f>
        <v>0</v>
      </c>
    </row>
    <row r="106" spans="2:20">
      <c r="B106" s="30" t="s">
        <v>106</v>
      </c>
      <c r="C106" s="1">
        <v>205490</v>
      </c>
      <c r="D106" s="1"/>
      <c r="E106" s="1" t="s">
        <v>208</v>
      </c>
      <c r="F106" s="1" t="s">
        <v>103</v>
      </c>
      <c r="G106" s="1">
        <v>192</v>
      </c>
      <c r="H106" s="1">
        <v>192</v>
      </c>
      <c r="I106" s="1" t="s">
        <v>152</v>
      </c>
      <c r="J106" s="29">
        <v>0.03</v>
      </c>
      <c r="K106" s="29"/>
      <c r="L106" s="26"/>
      <c r="M106" s="18">
        <f t="shared" ref="M106:M123" si="30">J106*$G106*$C106*0.7944</f>
        <v>940269.63455999992</v>
      </c>
      <c r="N106" s="18">
        <f t="shared" si="26"/>
        <v>0</v>
      </c>
      <c r="O106" s="18">
        <f t="shared" si="27"/>
        <v>0</v>
      </c>
      <c r="P106" s="20">
        <f t="shared" ref="P106:P123" si="31">M106/1000</f>
        <v>940.26963455999987</v>
      </c>
      <c r="Q106" s="20">
        <f t="shared" si="28"/>
        <v>0</v>
      </c>
      <c r="R106" s="20">
        <f t="shared" si="29"/>
        <v>0</v>
      </c>
    </row>
    <row r="107" spans="2:20">
      <c r="B107" s="30" t="s">
        <v>161</v>
      </c>
      <c r="C107" s="1">
        <v>91312</v>
      </c>
      <c r="D107" s="1"/>
      <c r="E107" s="1" t="s">
        <v>209</v>
      </c>
      <c r="F107" s="1" t="s">
        <v>56</v>
      </c>
      <c r="G107" s="1">
        <v>152</v>
      </c>
      <c r="H107" s="1">
        <v>116</v>
      </c>
      <c r="I107" s="1" t="s">
        <v>152</v>
      </c>
      <c r="J107" s="29">
        <v>0.03</v>
      </c>
      <c r="K107" s="29"/>
      <c r="L107" s="26"/>
      <c r="M107" s="18">
        <f t="shared" si="30"/>
        <v>330774.432768</v>
      </c>
      <c r="N107" s="18">
        <f t="shared" si="26"/>
        <v>0</v>
      </c>
      <c r="O107" s="18">
        <f t="shared" si="27"/>
        <v>0</v>
      </c>
      <c r="P107" s="20">
        <f t="shared" si="31"/>
        <v>330.774432768</v>
      </c>
      <c r="Q107" s="20">
        <f t="shared" si="28"/>
        <v>0</v>
      </c>
      <c r="R107" s="20">
        <f t="shared" si="29"/>
        <v>0</v>
      </c>
    </row>
    <row r="108" spans="2:20">
      <c r="B108" s="30" t="s">
        <v>162</v>
      </c>
      <c r="C108" s="1">
        <v>89032</v>
      </c>
      <c r="D108" s="1"/>
      <c r="E108" s="1" t="s">
        <v>211</v>
      </c>
      <c r="F108" s="1" t="s">
        <v>103</v>
      </c>
      <c r="G108" s="1">
        <v>239</v>
      </c>
      <c r="H108" s="1">
        <v>192</v>
      </c>
      <c r="I108" s="1" t="s">
        <v>152</v>
      </c>
      <c r="J108" s="29">
        <v>0.03</v>
      </c>
      <c r="K108" s="29"/>
      <c r="L108" s="26"/>
      <c r="M108" s="18">
        <f t="shared" si="30"/>
        <v>507112.73913599993</v>
      </c>
      <c r="N108" s="18">
        <f t="shared" si="26"/>
        <v>0</v>
      </c>
      <c r="O108" s="18">
        <f t="shared" si="27"/>
        <v>0</v>
      </c>
      <c r="P108" s="20">
        <f t="shared" si="31"/>
        <v>507.11273913599996</v>
      </c>
      <c r="Q108" s="20">
        <f t="shared" si="28"/>
        <v>0</v>
      </c>
      <c r="R108" s="20">
        <f t="shared" si="29"/>
        <v>0</v>
      </c>
    </row>
    <row r="109" spans="2:20">
      <c r="B109" s="30" t="s">
        <v>121</v>
      </c>
      <c r="C109" s="1">
        <v>42221</v>
      </c>
      <c r="D109" s="1"/>
      <c r="E109" s="1" t="s">
        <v>212</v>
      </c>
      <c r="F109" s="1" t="s">
        <v>103</v>
      </c>
      <c r="G109" s="1">
        <v>297</v>
      </c>
      <c r="H109" s="1">
        <v>234</v>
      </c>
      <c r="I109" s="1" t="s">
        <v>152</v>
      </c>
      <c r="J109" s="29">
        <v>0.03</v>
      </c>
      <c r="K109" s="29"/>
      <c r="L109" s="26"/>
      <c r="M109" s="18">
        <f t="shared" si="30"/>
        <v>298844.62898400001</v>
      </c>
      <c r="N109" s="18">
        <f t="shared" si="26"/>
        <v>0</v>
      </c>
      <c r="O109" s="18">
        <f t="shared" si="27"/>
        <v>0</v>
      </c>
      <c r="P109" s="20">
        <f t="shared" si="31"/>
        <v>298.844628984</v>
      </c>
      <c r="Q109" s="20">
        <f t="shared" si="28"/>
        <v>0</v>
      </c>
      <c r="R109" s="20">
        <f t="shared" si="29"/>
        <v>0</v>
      </c>
    </row>
    <row r="110" spans="2:20">
      <c r="B110" s="30" t="s">
        <v>163</v>
      </c>
      <c r="C110" s="1">
        <v>41233</v>
      </c>
      <c r="D110" s="1"/>
      <c r="E110" s="1" t="s">
        <v>213</v>
      </c>
      <c r="F110" s="1" t="s">
        <v>225</v>
      </c>
      <c r="G110" s="1">
        <v>521</v>
      </c>
      <c r="H110" s="1">
        <v>224</v>
      </c>
      <c r="I110" s="1" t="s">
        <v>152</v>
      </c>
      <c r="J110" s="29">
        <v>0.03</v>
      </c>
      <c r="K110" s="29"/>
      <c r="L110" s="26"/>
      <c r="M110" s="18">
        <f t="shared" si="30"/>
        <v>511968.38997599995</v>
      </c>
      <c r="N110" s="18">
        <f t="shared" si="26"/>
        <v>0</v>
      </c>
      <c r="O110" s="18">
        <f t="shared" si="27"/>
        <v>0</v>
      </c>
      <c r="P110" s="20">
        <f t="shared" si="31"/>
        <v>511.96838997599997</v>
      </c>
      <c r="Q110" s="20">
        <f t="shared" si="28"/>
        <v>0</v>
      </c>
      <c r="R110" s="20">
        <f t="shared" si="29"/>
        <v>0</v>
      </c>
    </row>
    <row r="111" spans="2:20">
      <c r="B111" s="30" t="s">
        <v>164</v>
      </c>
      <c r="C111" s="1">
        <v>29914</v>
      </c>
      <c r="D111" s="1"/>
      <c r="E111" s="1" t="s">
        <v>214</v>
      </c>
      <c r="F111" s="1" t="s">
        <v>99</v>
      </c>
      <c r="G111" s="1">
        <v>241</v>
      </c>
      <c r="H111" s="1">
        <v>241</v>
      </c>
      <c r="I111" s="1" t="s">
        <v>152</v>
      </c>
      <c r="J111" s="29">
        <v>0.03</v>
      </c>
      <c r="K111" s="29"/>
      <c r="L111" s="26"/>
      <c r="M111" s="18">
        <f t="shared" si="30"/>
        <v>171811.41796799997</v>
      </c>
      <c r="N111" s="18">
        <f t="shared" si="26"/>
        <v>0</v>
      </c>
      <c r="O111" s="18">
        <f t="shared" si="27"/>
        <v>0</v>
      </c>
      <c r="P111" s="20">
        <f t="shared" si="31"/>
        <v>171.81141796799997</v>
      </c>
      <c r="Q111" s="20">
        <f t="shared" si="28"/>
        <v>0</v>
      </c>
      <c r="R111" s="20">
        <f t="shared" si="29"/>
        <v>0</v>
      </c>
    </row>
    <row r="112" spans="2:20">
      <c r="B112" s="30" t="s">
        <v>165</v>
      </c>
      <c r="C112" s="1">
        <v>25399</v>
      </c>
      <c r="D112" s="1"/>
      <c r="E112" s="1" t="s">
        <v>215</v>
      </c>
      <c r="F112" s="1" t="s">
        <v>226</v>
      </c>
      <c r="G112" s="1">
        <v>655</v>
      </c>
      <c r="H112" s="1">
        <v>655</v>
      </c>
      <c r="I112" s="1" t="s">
        <v>152</v>
      </c>
      <c r="J112" s="29">
        <v>0.03</v>
      </c>
      <c r="K112" s="29"/>
      <c r="L112" s="26"/>
      <c r="M112" s="18">
        <f t="shared" si="30"/>
        <v>396477.37403999997</v>
      </c>
      <c r="N112" s="18">
        <f t="shared" si="26"/>
        <v>0</v>
      </c>
      <c r="O112" s="18">
        <f t="shared" si="27"/>
        <v>0</v>
      </c>
      <c r="P112" s="20">
        <f t="shared" si="31"/>
        <v>396.47737403999997</v>
      </c>
      <c r="Q112" s="20">
        <f t="shared" si="28"/>
        <v>0</v>
      </c>
      <c r="R112" s="20">
        <f t="shared" si="29"/>
        <v>0</v>
      </c>
    </row>
    <row r="113" spans="2:18">
      <c r="B113" s="30" t="s">
        <v>166</v>
      </c>
      <c r="C113" s="1">
        <v>22772</v>
      </c>
      <c r="D113" s="1"/>
      <c r="E113" s="1" t="s">
        <v>216</v>
      </c>
      <c r="F113" s="1" t="s">
        <v>56</v>
      </c>
      <c r="G113" s="1">
        <v>489</v>
      </c>
      <c r="H113" s="1">
        <v>286</v>
      </c>
      <c r="I113" s="1" t="s">
        <v>152</v>
      </c>
      <c r="J113" s="29">
        <v>0.03</v>
      </c>
      <c r="K113" s="29"/>
      <c r="L113" s="26"/>
      <c r="M113" s="18">
        <f t="shared" si="30"/>
        <v>265381.42665599997</v>
      </c>
      <c r="N113" s="18">
        <f t="shared" si="26"/>
        <v>0</v>
      </c>
      <c r="O113" s="18">
        <f t="shared" si="27"/>
        <v>0</v>
      </c>
      <c r="P113" s="20">
        <f t="shared" si="31"/>
        <v>265.38142665599997</v>
      </c>
      <c r="Q113" s="20">
        <f t="shared" si="28"/>
        <v>0</v>
      </c>
      <c r="R113" s="20">
        <f t="shared" si="29"/>
        <v>0</v>
      </c>
    </row>
    <row r="114" spans="2:18">
      <c r="B114" s="30" t="s">
        <v>167</v>
      </c>
      <c r="C114" s="1">
        <v>19398</v>
      </c>
      <c r="D114" s="1"/>
      <c r="E114" s="1" t="s">
        <v>217</v>
      </c>
      <c r="F114" s="1" t="s">
        <v>103</v>
      </c>
      <c r="G114" s="1">
        <v>192</v>
      </c>
      <c r="H114" s="1">
        <v>192</v>
      </c>
      <c r="I114" s="1" t="s">
        <v>152</v>
      </c>
      <c r="J114" s="29">
        <v>0.03</v>
      </c>
      <c r="K114" s="29"/>
      <c r="L114" s="26"/>
      <c r="M114" s="18">
        <f t="shared" si="30"/>
        <v>88760.282112000001</v>
      </c>
      <c r="N114" s="18">
        <f t="shared" si="26"/>
        <v>0</v>
      </c>
      <c r="O114" s="18">
        <f t="shared" si="27"/>
        <v>0</v>
      </c>
      <c r="P114" s="20">
        <f t="shared" si="31"/>
        <v>88.760282111999999</v>
      </c>
      <c r="Q114" s="20">
        <f t="shared" si="28"/>
        <v>0</v>
      </c>
      <c r="R114" s="20">
        <f t="shared" si="29"/>
        <v>0</v>
      </c>
    </row>
    <row r="115" spans="2:18">
      <c r="B115" s="30" t="s">
        <v>168</v>
      </c>
      <c r="C115" s="1">
        <v>16434</v>
      </c>
      <c r="D115" s="1"/>
      <c r="E115" s="1" t="s">
        <v>230</v>
      </c>
      <c r="F115" s="1" t="s">
        <v>56</v>
      </c>
      <c r="G115" s="1">
        <v>701</v>
      </c>
      <c r="H115" s="1">
        <v>452</v>
      </c>
      <c r="I115" s="1" t="s">
        <v>152</v>
      </c>
      <c r="J115" s="29">
        <v>0.03</v>
      </c>
      <c r="K115" s="29"/>
      <c r="L115" s="26"/>
      <c r="M115" s="18">
        <f t="shared" si="30"/>
        <v>274550.21668799996</v>
      </c>
      <c r="N115" s="18">
        <f t="shared" si="26"/>
        <v>0</v>
      </c>
      <c r="O115" s="18">
        <f t="shared" si="27"/>
        <v>0</v>
      </c>
      <c r="P115" s="20">
        <f t="shared" si="31"/>
        <v>274.55021668799998</v>
      </c>
      <c r="Q115" s="20">
        <f t="shared" si="28"/>
        <v>0</v>
      </c>
      <c r="R115" s="20">
        <f t="shared" si="29"/>
        <v>0</v>
      </c>
    </row>
    <row r="116" spans="2:18">
      <c r="B116" s="30" t="s">
        <v>169</v>
      </c>
      <c r="C116" s="1">
        <v>11992</v>
      </c>
      <c r="D116" s="1"/>
      <c r="E116" s="1" t="s">
        <v>220</v>
      </c>
      <c r="F116" s="1" t="s">
        <v>103</v>
      </c>
      <c r="G116" s="1">
        <v>336</v>
      </c>
      <c r="H116" s="1">
        <v>336</v>
      </c>
      <c r="I116" s="1" t="s">
        <v>152</v>
      </c>
      <c r="J116" s="29">
        <v>0.03</v>
      </c>
      <c r="K116" s="29"/>
      <c r="L116" s="26"/>
      <c r="M116" s="18">
        <f t="shared" si="30"/>
        <v>96026.563584000003</v>
      </c>
      <c r="N116" s="18">
        <f t="shared" si="26"/>
        <v>0</v>
      </c>
      <c r="O116" s="18">
        <f t="shared" si="27"/>
        <v>0</v>
      </c>
      <c r="P116" s="20">
        <f t="shared" si="31"/>
        <v>96.026563584000002</v>
      </c>
      <c r="Q116" s="20">
        <f t="shared" si="28"/>
        <v>0</v>
      </c>
      <c r="R116" s="20">
        <f t="shared" si="29"/>
        <v>0</v>
      </c>
    </row>
    <row r="117" spans="2:18">
      <c r="B117" s="30" t="s">
        <v>170</v>
      </c>
      <c r="C117" s="1">
        <v>5838</v>
      </c>
      <c r="D117" s="1"/>
      <c r="E117" s="1" t="s">
        <v>219</v>
      </c>
      <c r="F117" s="1" t="s">
        <v>231</v>
      </c>
      <c r="G117" s="1">
        <v>79</v>
      </c>
      <c r="H117" s="1">
        <v>79</v>
      </c>
      <c r="I117" s="1" t="s">
        <v>152</v>
      </c>
      <c r="J117" s="29">
        <v>0.03</v>
      </c>
      <c r="K117" s="29"/>
      <c r="L117" s="26"/>
      <c r="M117" s="18">
        <f t="shared" si="30"/>
        <v>10991.366064000002</v>
      </c>
      <c r="N117" s="18">
        <f t="shared" si="26"/>
        <v>0</v>
      </c>
      <c r="O117" s="18">
        <f t="shared" si="27"/>
        <v>0</v>
      </c>
      <c r="P117" s="20">
        <f t="shared" si="31"/>
        <v>10.991366064000001</v>
      </c>
      <c r="Q117" s="20">
        <f t="shared" si="28"/>
        <v>0</v>
      </c>
      <c r="R117" s="20">
        <f t="shared" si="29"/>
        <v>0</v>
      </c>
    </row>
    <row r="118" spans="2:18">
      <c r="B118" s="30" t="s">
        <v>171</v>
      </c>
      <c r="C118" s="1">
        <v>4987</v>
      </c>
      <c r="D118" s="1"/>
      <c r="E118" s="1" t="s">
        <v>221</v>
      </c>
      <c r="F118" s="1" t="s">
        <v>171</v>
      </c>
      <c r="G118" s="1">
        <v>6.6</v>
      </c>
      <c r="H118" s="1">
        <v>6.6</v>
      </c>
      <c r="I118" s="1" t="s">
        <v>152</v>
      </c>
      <c r="J118" s="29">
        <v>0.03</v>
      </c>
      <c r="K118" s="29"/>
      <c r="L118" s="26"/>
      <c r="M118" s="18">
        <f t="shared" si="30"/>
        <v>784.41121439999995</v>
      </c>
      <c r="N118" s="18">
        <f t="shared" si="26"/>
        <v>0</v>
      </c>
      <c r="O118" s="18">
        <f t="shared" si="27"/>
        <v>0</v>
      </c>
      <c r="P118" s="20">
        <f t="shared" si="31"/>
        <v>0.78441121439999995</v>
      </c>
      <c r="Q118" s="20">
        <f t="shared" si="28"/>
        <v>0</v>
      </c>
      <c r="R118" s="20">
        <f t="shared" si="29"/>
        <v>0</v>
      </c>
    </row>
    <row r="119" spans="2:18">
      <c r="B119" s="30" t="s">
        <v>172</v>
      </c>
      <c r="C119" s="1">
        <v>4832</v>
      </c>
      <c r="D119" s="1"/>
      <c r="E119" s="1" t="s">
        <v>222</v>
      </c>
      <c r="F119" s="1" t="s">
        <v>226</v>
      </c>
      <c r="G119" s="1">
        <v>698</v>
      </c>
      <c r="H119" s="1">
        <v>698</v>
      </c>
      <c r="I119" s="1" t="s">
        <v>152</v>
      </c>
      <c r="J119" s="29">
        <v>0.03</v>
      </c>
      <c r="K119" s="29"/>
      <c r="L119" s="26"/>
      <c r="M119" s="18">
        <f t="shared" si="30"/>
        <v>80379.044351999983</v>
      </c>
      <c r="N119" s="18">
        <f t="shared" si="26"/>
        <v>0</v>
      </c>
      <c r="O119" s="18">
        <f t="shared" si="27"/>
        <v>0</v>
      </c>
      <c r="P119" s="20">
        <f t="shared" si="31"/>
        <v>80.37904435199998</v>
      </c>
      <c r="Q119" s="20">
        <f t="shared" si="28"/>
        <v>0</v>
      </c>
      <c r="R119" s="20">
        <f t="shared" si="29"/>
        <v>0</v>
      </c>
    </row>
    <row r="120" spans="2:18">
      <c r="B120" s="30" t="s">
        <v>173</v>
      </c>
      <c r="C120" s="1">
        <v>1097</v>
      </c>
      <c r="D120" s="1"/>
      <c r="E120" s="1" t="s">
        <v>223</v>
      </c>
      <c r="F120" s="1" t="s">
        <v>56</v>
      </c>
      <c r="G120" s="1">
        <v>309</v>
      </c>
      <c r="H120" s="1">
        <v>196</v>
      </c>
      <c r="I120" s="1" t="s">
        <v>152</v>
      </c>
      <c r="J120" s="29">
        <v>0.03</v>
      </c>
      <c r="K120" s="29"/>
      <c r="L120" s="26"/>
      <c r="M120" s="18">
        <f t="shared" si="30"/>
        <v>8078.4045359999991</v>
      </c>
      <c r="N120" s="18">
        <f t="shared" si="26"/>
        <v>0</v>
      </c>
      <c r="O120" s="18">
        <f t="shared" si="27"/>
        <v>0</v>
      </c>
      <c r="P120" s="20">
        <f t="shared" si="31"/>
        <v>8.078404535999999</v>
      </c>
      <c r="Q120" s="20">
        <f t="shared" si="28"/>
        <v>0</v>
      </c>
      <c r="R120" s="20">
        <f t="shared" si="29"/>
        <v>0</v>
      </c>
    </row>
    <row r="121" spans="2:18">
      <c r="B121" s="30" t="s">
        <v>174</v>
      </c>
      <c r="C121" s="1">
        <v>881</v>
      </c>
      <c r="D121" s="1"/>
      <c r="E121" s="1" t="s">
        <v>214</v>
      </c>
      <c r="F121" s="1" t="s">
        <v>99</v>
      </c>
      <c r="G121" s="1">
        <v>232</v>
      </c>
      <c r="H121" s="1">
        <v>232</v>
      </c>
      <c r="I121" s="1" t="s">
        <v>152</v>
      </c>
      <c r="J121" s="29">
        <v>0.03</v>
      </c>
      <c r="K121" s="29"/>
      <c r="L121" s="26"/>
      <c r="M121" s="18">
        <f t="shared" si="30"/>
        <v>4871.0701440000003</v>
      </c>
      <c r="N121" s="18">
        <f t="shared" si="26"/>
        <v>0</v>
      </c>
      <c r="O121" s="18">
        <f t="shared" si="27"/>
        <v>0</v>
      </c>
      <c r="P121" s="20">
        <f t="shared" si="31"/>
        <v>4.8710701439999999</v>
      </c>
      <c r="Q121" s="20">
        <f t="shared" si="28"/>
        <v>0</v>
      </c>
      <c r="R121" s="20">
        <f t="shared" si="29"/>
        <v>0</v>
      </c>
    </row>
    <row r="122" spans="2:18">
      <c r="B122" s="30" t="s">
        <v>175</v>
      </c>
      <c r="C122" s="1">
        <v>300</v>
      </c>
      <c r="D122" s="1"/>
      <c r="E122" s="1" t="s">
        <v>224</v>
      </c>
      <c r="F122" s="1" t="s">
        <v>56</v>
      </c>
      <c r="G122" s="1">
        <v>439</v>
      </c>
      <c r="H122" s="1">
        <v>224</v>
      </c>
      <c r="I122" s="1" t="s">
        <v>152</v>
      </c>
      <c r="J122" s="29">
        <v>0.03</v>
      </c>
      <c r="K122" s="29"/>
      <c r="L122" s="26"/>
      <c r="M122" s="18">
        <f t="shared" si="30"/>
        <v>3138.6743999999999</v>
      </c>
      <c r="N122" s="18">
        <f t="shared" si="26"/>
        <v>0</v>
      </c>
      <c r="O122" s="18">
        <f t="shared" si="27"/>
        <v>0</v>
      </c>
      <c r="P122" s="20">
        <f t="shared" si="31"/>
        <v>3.1386743999999998</v>
      </c>
      <c r="Q122" s="20">
        <f t="shared" si="28"/>
        <v>0</v>
      </c>
      <c r="R122" s="20">
        <f t="shared" si="29"/>
        <v>0</v>
      </c>
    </row>
    <row r="123" spans="2:18">
      <c r="B123" s="30" t="s">
        <v>176</v>
      </c>
      <c r="C123" s="1">
        <v>177</v>
      </c>
      <c r="D123" s="1"/>
      <c r="E123" s="1" t="s">
        <v>214</v>
      </c>
      <c r="F123" s="1" t="s">
        <v>225</v>
      </c>
      <c r="G123" s="1">
        <v>504</v>
      </c>
      <c r="H123" s="1">
        <v>504</v>
      </c>
      <c r="I123" s="1" t="s">
        <v>152</v>
      </c>
      <c r="J123" s="29">
        <v>0.03</v>
      </c>
      <c r="K123" s="29"/>
      <c r="L123" s="26"/>
      <c r="M123" s="18">
        <f t="shared" si="30"/>
        <v>2126.005056</v>
      </c>
      <c r="N123" s="18">
        <f t="shared" si="26"/>
        <v>0</v>
      </c>
      <c r="O123" s="18">
        <f t="shared" si="27"/>
        <v>0</v>
      </c>
      <c r="P123" s="20">
        <f t="shared" si="31"/>
        <v>2.1260050559999999</v>
      </c>
      <c r="Q123" s="20">
        <f t="shared" si="28"/>
        <v>0</v>
      </c>
      <c r="R123" s="20">
        <f t="shared" si="29"/>
        <v>0</v>
      </c>
    </row>
    <row r="124" spans="2:18">
      <c r="O124" t="s">
        <v>206</v>
      </c>
      <c r="P124" s="20">
        <f>SUM(P105:P123)</f>
        <v>4872.6084567024</v>
      </c>
      <c r="Q124" s="20">
        <f>SUM(Q105:Q123)</f>
        <v>0</v>
      </c>
      <c r="R124" s="20">
        <f>SUM(R105:R123)</f>
        <v>0</v>
      </c>
    </row>
    <row r="128" spans="2:18">
      <c r="B128" s="71" t="s">
        <v>228</v>
      </c>
    </row>
    <row r="130" spans="2:18" ht="45">
      <c r="B130" s="10" t="s">
        <v>180</v>
      </c>
      <c r="C130" s="13" t="s">
        <v>125</v>
      </c>
      <c r="D130" s="10"/>
      <c r="E130" s="10" t="s">
        <v>207</v>
      </c>
      <c r="F130" s="10" t="s">
        <v>177</v>
      </c>
      <c r="G130" s="13" t="s">
        <v>151</v>
      </c>
      <c r="H130" s="13" t="s">
        <v>151</v>
      </c>
      <c r="I130" s="13" t="s">
        <v>126</v>
      </c>
      <c r="J130" s="13" t="s">
        <v>52</v>
      </c>
      <c r="K130" s="13" t="s">
        <v>53</v>
      </c>
      <c r="L130" s="13" t="s">
        <v>54</v>
      </c>
      <c r="M130" s="13" t="s">
        <v>52</v>
      </c>
      <c r="N130" s="13" t="s">
        <v>53</v>
      </c>
      <c r="O130" s="13" t="s">
        <v>54</v>
      </c>
      <c r="P130" s="13" t="s">
        <v>52</v>
      </c>
      <c r="Q130" s="13" t="s">
        <v>53</v>
      </c>
      <c r="R130" s="13" t="s">
        <v>54</v>
      </c>
    </row>
    <row r="131" spans="2:18">
      <c r="B131" s="30" t="s">
        <v>160</v>
      </c>
      <c r="C131" s="1">
        <v>243001</v>
      </c>
      <c r="D131" s="1"/>
      <c r="E131" s="1" t="s">
        <v>210</v>
      </c>
      <c r="F131" s="1" t="s">
        <v>56</v>
      </c>
      <c r="G131" s="1">
        <v>152</v>
      </c>
      <c r="H131" s="1">
        <v>116</v>
      </c>
      <c r="I131" s="1" t="s">
        <v>190</v>
      </c>
      <c r="J131" s="29">
        <v>0.11</v>
      </c>
      <c r="K131" s="29"/>
      <c r="L131" s="26"/>
      <c r="M131" s="18">
        <f>J131*$G131*$C131*0.1678</f>
        <v>681767.49361599993</v>
      </c>
      <c r="N131" s="18">
        <f t="shared" ref="N131:N149" si="32">K131*$G131*$C131*2</f>
        <v>0</v>
      </c>
      <c r="O131" s="18">
        <f t="shared" ref="O131:O149" si="33">L131*$G131*$C131*2</f>
        <v>0</v>
      </c>
      <c r="P131" s="20">
        <f>M131/1000</f>
        <v>681.76749361599991</v>
      </c>
      <c r="Q131" s="20">
        <f t="shared" ref="Q131:Q149" si="34">N131/1000</f>
        <v>0</v>
      </c>
      <c r="R131" s="20">
        <f t="shared" ref="R131:R149" si="35">O131/1000</f>
        <v>0</v>
      </c>
    </row>
    <row r="132" spans="2:18">
      <c r="B132" s="30" t="s">
        <v>106</v>
      </c>
      <c r="C132" s="1">
        <v>205490</v>
      </c>
      <c r="D132" s="1"/>
      <c r="E132" s="1" t="s">
        <v>208</v>
      </c>
      <c r="F132" s="1" t="s">
        <v>103</v>
      </c>
      <c r="G132" s="1">
        <v>192</v>
      </c>
      <c r="H132" s="1">
        <v>192</v>
      </c>
      <c r="I132" s="1" t="s">
        <v>190</v>
      </c>
      <c r="J132" s="29">
        <v>0.11</v>
      </c>
      <c r="K132" s="29"/>
      <c r="L132" s="26"/>
      <c r="M132" s="18">
        <f t="shared" ref="M132:M149" si="36">J132*$G132*$C132*0.1678</f>
        <v>728243.40864000004</v>
      </c>
      <c r="N132" s="18">
        <f t="shared" si="32"/>
        <v>0</v>
      </c>
      <c r="O132" s="18">
        <f t="shared" si="33"/>
        <v>0</v>
      </c>
      <c r="P132" s="20">
        <f t="shared" ref="P132:P149" si="37">M132/1000</f>
        <v>728.24340863999998</v>
      </c>
      <c r="Q132" s="20">
        <f t="shared" si="34"/>
        <v>0</v>
      </c>
      <c r="R132" s="20">
        <f t="shared" si="35"/>
        <v>0</v>
      </c>
    </row>
    <row r="133" spans="2:18">
      <c r="B133" s="30" t="s">
        <v>161</v>
      </c>
      <c r="C133" s="1">
        <v>91312</v>
      </c>
      <c r="D133" s="1"/>
      <c r="E133" s="1" t="s">
        <v>209</v>
      </c>
      <c r="F133" s="1" t="s">
        <v>56</v>
      </c>
      <c r="G133" s="1">
        <v>152</v>
      </c>
      <c r="H133" s="1">
        <v>116</v>
      </c>
      <c r="I133" s="1" t="s">
        <v>190</v>
      </c>
      <c r="J133" s="29">
        <v>0.11</v>
      </c>
      <c r="K133" s="29"/>
      <c r="L133" s="26"/>
      <c r="M133" s="18">
        <f t="shared" si="36"/>
        <v>256186.408192</v>
      </c>
      <c r="N133" s="18">
        <f t="shared" si="32"/>
        <v>0</v>
      </c>
      <c r="O133" s="18">
        <f t="shared" si="33"/>
        <v>0</v>
      </c>
      <c r="P133" s="20">
        <f t="shared" si="37"/>
        <v>256.18640819199999</v>
      </c>
      <c r="Q133" s="20">
        <f t="shared" si="34"/>
        <v>0</v>
      </c>
      <c r="R133" s="20">
        <f t="shared" si="35"/>
        <v>0</v>
      </c>
    </row>
    <row r="134" spans="2:18">
      <c r="B134" s="30" t="s">
        <v>162</v>
      </c>
      <c r="C134" s="1">
        <v>89032</v>
      </c>
      <c r="D134" s="1"/>
      <c r="E134" s="1" t="s">
        <v>211</v>
      </c>
      <c r="F134" s="1" t="s">
        <v>103</v>
      </c>
      <c r="G134" s="1">
        <v>239</v>
      </c>
      <c r="H134" s="1">
        <v>192</v>
      </c>
      <c r="I134" s="1" t="s">
        <v>190</v>
      </c>
      <c r="J134" s="29">
        <v>0.11</v>
      </c>
      <c r="K134" s="29"/>
      <c r="L134" s="26"/>
      <c r="M134" s="18">
        <f t="shared" si="36"/>
        <v>392761.28478399996</v>
      </c>
      <c r="N134" s="18">
        <f t="shared" si="32"/>
        <v>0</v>
      </c>
      <c r="O134" s="18">
        <f t="shared" si="33"/>
        <v>0</v>
      </c>
      <c r="P134" s="20">
        <f t="shared" si="37"/>
        <v>392.76128478399994</v>
      </c>
      <c r="Q134" s="20">
        <f t="shared" si="34"/>
        <v>0</v>
      </c>
      <c r="R134" s="20">
        <f t="shared" si="35"/>
        <v>0</v>
      </c>
    </row>
    <row r="135" spans="2:18">
      <c r="B135" s="30" t="s">
        <v>121</v>
      </c>
      <c r="C135" s="1">
        <v>42221</v>
      </c>
      <c r="D135" s="1"/>
      <c r="E135" s="1" t="s">
        <v>212</v>
      </c>
      <c r="F135" s="1" t="s">
        <v>103</v>
      </c>
      <c r="G135" s="1">
        <v>297</v>
      </c>
      <c r="H135" s="1">
        <v>234</v>
      </c>
      <c r="I135" s="1" t="s">
        <v>190</v>
      </c>
      <c r="J135" s="29">
        <v>0.11</v>
      </c>
      <c r="K135" s="29"/>
      <c r="L135" s="26"/>
      <c r="M135" s="18">
        <f t="shared" si="36"/>
        <v>231456.61974600001</v>
      </c>
      <c r="N135" s="18">
        <f t="shared" si="32"/>
        <v>0</v>
      </c>
      <c r="O135" s="18">
        <f t="shared" si="33"/>
        <v>0</v>
      </c>
      <c r="P135" s="20">
        <f t="shared" si="37"/>
        <v>231.456619746</v>
      </c>
      <c r="Q135" s="20">
        <f t="shared" si="34"/>
        <v>0</v>
      </c>
      <c r="R135" s="20">
        <f t="shared" si="35"/>
        <v>0</v>
      </c>
    </row>
    <row r="136" spans="2:18">
      <c r="B136" s="30" t="s">
        <v>163</v>
      </c>
      <c r="C136" s="1">
        <v>41233</v>
      </c>
      <c r="D136" s="1"/>
      <c r="E136" s="1" t="s">
        <v>213</v>
      </c>
      <c r="F136" s="1" t="s">
        <v>225</v>
      </c>
      <c r="G136" s="1">
        <v>521</v>
      </c>
      <c r="H136" s="1">
        <v>224</v>
      </c>
      <c r="I136" s="1" t="s">
        <v>190</v>
      </c>
      <c r="J136" s="29">
        <v>0.11</v>
      </c>
      <c r="K136" s="29"/>
      <c r="L136" s="26"/>
      <c r="M136" s="18">
        <f t="shared" si="36"/>
        <v>396522.00999400002</v>
      </c>
      <c r="N136" s="18">
        <f t="shared" si="32"/>
        <v>0</v>
      </c>
      <c r="O136" s="18">
        <f t="shared" si="33"/>
        <v>0</v>
      </c>
      <c r="P136" s="20">
        <f t="shared" si="37"/>
        <v>396.52200999400003</v>
      </c>
      <c r="Q136" s="20">
        <f t="shared" si="34"/>
        <v>0</v>
      </c>
      <c r="R136" s="20">
        <f t="shared" si="35"/>
        <v>0</v>
      </c>
    </row>
    <row r="137" spans="2:18">
      <c r="B137" s="30" t="s">
        <v>164</v>
      </c>
      <c r="C137" s="1">
        <v>29914</v>
      </c>
      <c r="D137" s="1"/>
      <c r="E137" s="1" t="s">
        <v>214</v>
      </c>
      <c r="F137" s="1" t="s">
        <v>99</v>
      </c>
      <c r="G137" s="1">
        <v>241</v>
      </c>
      <c r="H137" s="1">
        <v>241</v>
      </c>
      <c r="I137" s="1" t="s">
        <v>190</v>
      </c>
      <c r="J137" s="29">
        <v>0.11</v>
      </c>
      <c r="K137" s="29"/>
      <c r="L137" s="26"/>
      <c r="M137" s="18">
        <f t="shared" si="36"/>
        <v>133068.779492</v>
      </c>
      <c r="N137" s="18">
        <f t="shared" si="32"/>
        <v>0</v>
      </c>
      <c r="O137" s="18">
        <f t="shared" si="33"/>
        <v>0</v>
      </c>
      <c r="P137" s="20">
        <f t="shared" si="37"/>
        <v>133.068779492</v>
      </c>
      <c r="Q137" s="20">
        <f t="shared" si="34"/>
        <v>0</v>
      </c>
      <c r="R137" s="20">
        <f t="shared" si="35"/>
        <v>0</v>
      </c>
    </row>
    <row r="138" spans="2:18">
      <c r="B138" s="30" t="s">
        <v>165</v>
      </c>
      <c r="C138" s="1">
        <v>25399</v>
      </c>
      <c r="D138" s="1"/>
      <c r="E138" s="1" t="s">
        <v>215</v>
      </c>
      <c r="F138" s="1" t="s">
        <v>226</v>
      </c>
      <c r="G138" s="1">
        <v>655</v>
      </c>
      <c r="H138" s="1">
        <v>655</v>
      </c>
      <c r="I138" s="1" t="s">
        <v>190</v>
      </c>
      <c r="J138" s="29">
        <v>0.11</v>
      </c>
      <c r="K138" s="29"/>
      <c r="L138" s="26"/>
      <c r="M138" s="18">
        <f t="shared" si="36"/>
        <v>307073.65600999998</v>
      </c>
      <c r="N138" s="18">
        <f t="shared" si="32"/>
        <v>0</v>
      </c>
      <c r="O138" s="18">
        <f t="shared" si="33"/>
        <v>0</v>
      </c>
      <c r="P138" s="20">
        <f t="shared" si="37"/>
        <v>307.07365600999998</v>
      </c>
      <c r="Q138" s="20">
        <f t="shared" si="34"/>
        <v>0</v>
      </c>
      <c r="R138" s="20">
        <f t="shared" si="35"/>
        <v>0</v>
      </c>
    </row>
    <row r="139" spans="2:18">
      <c r="B139" s="30" t="s">
        <v>166</v>
      </c>
      <c r="C139" s="1">
        <v>22772</v>
      </c>
      <c r="D139" s="1"/>
      <c r="E139" s="1" t="s">
        <v>216</v>
      </c>
      <c r="F139" s="1" t="s">
        <v>56</v>
      </c>
      <c r="G139" s="1">
        <v>489</v>
      </c>
      <c r="H139" s="1">
        <v>286</v>
      </c>
      <c r="I139" s="1" t="s">
        <v>190</v>
      </c>
      <c r="J139" s="29">
        <v>0.11</v>
      </c>
      <c r="K139" s="29"/>
      <c r="L139" s="26"/>
      <c r="M139" s="18">
        <f t="shared" si="36"/>
        <v>205539.206664</v>
      </c>
      <c r="N139" s="18">
        <f t="shared" si="32"/>
        <v>0</v>
      </c>
      <c r="O139" s="18">
        <f t="shared" si="33"/>
        <v>0</v>
      </c>
      <c r="P139" s="20">
        <f t="shared" si="37"/>
        <v>205.53920666400001</v>
      </c>
      <c r="Q139" s="20">
        <f t="shared" si="34"/>
        <v>0</v>
      </c>
      <c r="R139" s="20">
        <f t="shared" si="35"/>
        <v>0</v>
      </c>
    </row>
    <row r="140" spans="2:18">
      <c r="B140" s="30" t="s">
        <v>167</v>
      </c>
      <c r="C140" s="1">
        <v>19398</v>
      </c>
      <c r="D140" s="1"/>
      <c r="E140" s="1" t="s">
        <v>217</v>
      </c>
      <c r="F140" s="1" t="s">
        <v>103</v>
      </c>
      <c r="G140" s="1">
        <v>192</v>
      </c>
      <c r="H140" s="1">
        <v>192</v>
      </c>
      <c r="I140" s="1" t="s">
        <v>190</v>
      </c>
      <c r="J140" s="29">
        <v>0.11</v>
      </c>
      <c r="K140" s="29"/>
      <c r="L140" s="26"/>
      <c r="M140" s="18">
        <f t="shared" si="36"/>
        <v>68745.270528000008</v>
      </c>
      <c r="N140" s="18">
        <f t="shared" si="32"/>
        <v>0</v>
      </c>
      <c r="O140" s="18">
        <f t="shared" si="33"/>
        <v>0</v>
      </c>
      <c r="P140" s="20">
        <f t="shared" si="37"/>
        <v>68.745270528000006</v>
      </c>
      <c r="Q140" s="20">
        <f t="shared" si="34"/>
        <v>0</v>
      </c>
      <c r="R140" s="20">
        <f t="shared" si="35"/>
        <v>0</v>
      </c>
    </row>
    <row r="141" spans="2:18">
      <c r="B141" s="30" t="s">
        <v>168</v>
      </c>
      <c r="C141" s="1">
        <v>16434</v>
      </c>
      <c r="D141" s="1"/>
      <c r="E141" s="1" t="s">
        <v>218</v>
      </c>
      <c r="F141" s="1" t="s">
        <v>56</v>
      </c>
      <c r="G141" s="1">
        <v>701</v>
      </c>
      <c r="H141" s="1">
        <v>452</v>
      </c>
      <c r="I141" s="1" t="s">
        <v>190</v>
      </c>
      <c r="J141" s="29">
        <v>0.11</v>
      </c>
      <c r="K141" s="29"/>
      <c r="L141" s="26"/>
      <c r="M141" s="18">
        <f t="shared" si="36"/>
        <v>212640.47917199999</v>
      </c>
      <c r="N141" s="18">
        <f t="shared" si="32"/>
        <v>0</v>
      </c>
      <c r="O141" s="18">
        <f t="shared" si="33"/>
        <v>0</v>
      </c>
      <c r="P141" s="20">
        <f t="shared" si="37"/>
        <v>212.640479172</v>
      </c>
      <c r="Q141" s="20">
        <f t="shared" si="34"/>
        <v>0</v>
      </c>
      <c r="R141" s="20">
        <f t="shared" si="35"/>
        <v>0</v>
      </c>
    </row>
    <row r="142" spans="2:18">
      <c r="B142" s="30" t="s">
        <v>169</v>
      </c>
      <c r="C142" s="1">
        <v>11992</v>
      </c>
      <c r="D142" s="1"/>
      <c r="E142" s="1" t="s">
        <v>220</v>
      </c>
      <c r="F142" s="1" t="s">
        <v>103</v>
      </c>
      <c r="G142" s="1">
        <v>336</v>
      </c>
      <c r="H142" s="1">
        <v>336</v>
      </c>
      <c r="I142" s="1" t="s">
        <v>190</v>
      </c>
      <c r="J142" s="29">
        <v>0.11</v>
      </c>
      <c r="K142" s="29"/>
      <c r="L142" s="26"/>
      <c r="M142" s="18">
        <f t="shared" si="36"/>
        <v>74373.040896000006</v>
      </c>
      <c r="N142" s="18">
        <f t="shared" si="32"/>
        <v>0</v>
      </c>
      <c r="O142" s="18">
        <f t="shared" si="33"/>
        <v>0</v>
      </c>
      <c r="P142" s="20">
        <f t="shared" si="37"/>
        <v>74.373040896000006</v>
      </c>
      <c r="Q142" s="20">
        <f t="shared" si="34"/>
        <v>0</v>
      </c>
      <c r="R142" s="20">
        <f t="shared" si="35"/>
        <v>0</v>
      </c>
    </row>
    <row r="143" spans="2:18">
      <c r="B143" s="30" t="s">
        <v>170</v>
      </c>
      <c r="C143" s="1">
        <v>5838</v>
      </c>
      <c r="D143" s="1"/>
      <c r="E143" s="1" t="s">
        <v>219</v>
      </c>
      <c r="F143" s="1" t="s">
        <v>181</v>
      </c>
      <c r="G143" s="1">
        <v>79</v>
      </c>
      <c r="H143" s="1">
        <v>79</v>
      </c>
      <c r="I143" s="1" t="s">
        <v>190</v>
      </c>
      <c r="J143" s="29">
        <v>0.11</v>
      </c>
      <c r="K143" s="29"/>
      <c r="L143" s="26"/>
      <c r="M143" s="18">
        <f t="shared" si="36"/>
        <v>8512.866516</v>
      </c>
      <c r="N143" s="18">
        <f t="shared" si="32"/>
        <v>0</v>
      </c>
      <c r="O143" s="18">
        <f t="shared" si="33"/>
        <v>0</v>
      </c>
      <c r="P143" s="20">
        <f t="shared" si="37"/>
        <v>8.5128665160000008</v>
      </c>
      <c r="Q143" s="20">
        <f t="shared" si="34"/>
        <v>0</v>
      </c>
      <c r="R143" s="20">
        <f t="shared" si="35"/>
        <v>0</v>
      </c>
    </row>
    <row r="144" spans="2:18">
      <c r="B144" s="30" t="s">
        <v>171</v>
      </c>
      <c r="C144" s="1">
        <v>4987</v>
      </c>
      <c r="D144" s="1"/>
      <c r="E144" s="1" t="s">
        <v>221</v>
      </c>
      <c r="F144" s="1" t="s">
        <v>171</v>
      </c>
      <c r="G144" s="1">
        <v>6.6</v>
      </c>
      <c r="H144" s="1">
        <v>6.6</v>
      </c>
      <c r="I144" s="1" t="s">
        <v>190</v>
      </c>
      <c r="J144" s="29">
        <v>0.11</v>
      </c>
      <c r="K144" s="29"/>
      <c r="L144" s="26"/>
      <c r="M144" s="18">
        <f t="shared" si="36"/>
        <v>607.53030360000002</v>
      </c>
      <c r="N144" s="18">
        <f t="shared" si="32"/>
        <v>0</v>
      </c>
      <c r="O144" s="18">
        <f t="shared" si="33"/>
        <v>0</v>
      </c>
      <c r="P144" s="20">
        <f t="shared" si="37"/>
        <v>0.60753030360000004</v>
      </c>
      <c r="Q144" s="20">
        <f t="shared" si="34"/>
        <v>0</v>
      </c>
      <c r="R144" s="20">
        <f t="shared" si="35"/>
        <v>0</v>
      </c>
    </row>
    <row r="145" spans="2:18">
      <c r="B145" s="30" t="s">
        <v>172</v>
      </c>
      <c r="C145" s="1">
        <v>4832</v>
      </c>
      <c r="D145" s="1"/>
      <c r="E145" s="1" t="s">
        <v>222</v>
      </c>
      <c r="F145" s="1" t="s">
        <v>226</v>
      </c>
      <c r="G145" s="1">
        <v>698</v>
      </c>
      <c r="H145" s="1">
        <v>698</v>
      </c>
      <c r="I145" s="1" t="s">
        <v>190</v>
      </c>
      <c r="J145" s="29">
        <v>0.11</v>
      </c>
      <c r="K145" s="29"/>
      <c r="L145" s="26"/>
      <c r="M145" s="18">
        <f t="shared" si="36"/>
        <v>62253.961088000004</v>
      </c>
      <c r="N145" s="18">
        <f t="shared" si="32"/>
        <v>0</v>
      </c>
      <c r="O145" s="18">
        <f t="shared" si="33"/>
        <v>0</v>
      </c>
      <c r="P145" s="20">
        <f t="shared" si="37"/>
        <v>62.253961088000004</v>
      </c>
      <c r="Q145" s="20">
        <f t="shared" si="34"/>
        <v>0</v>
      </c>
      <c r="R145" s="20">
        <f t="shared" si="35"/>
        <v>0</v>
      </c>
    </row>
    <row r="146" spans="2:18">
      <c r="B146" s="30" t="s">
        <v>173</v>
      </c>
      <c r="C146" s="1">
        <v>1097</v>
      </c>
      <c r="D146" s="1"/>
      <c r="E146" s="1" t="s">
        <v>223</v>
      </c>
      <c r="F146" s="1" t="s">
        <v>56</v>
      </c>
      <c r="G146" s="1">
        <v>309</v>
      </c>
      <c r="H146" s="1">
        <v>196</v>
      </c>
      <c r="I146" s="1" t="s">
        <v>190</v>
      </c>
      <c r="J146" s="29">
        <v>0.11</v>
      </c>
      <c r="K146" s="29"/>
      <c r="L146" s="26"/>
      <c r="M146" s="18">
        <f t="shared" si="36"/>
        <v>6256.7636339999999</v>
      </c>
      <c r="N146" s="18">
        <f t="shared" si="32"/>
        <v>0</v>
      </c>
      <c r="O146" s="18">
        <f t="shared" si="33"/>
        <v>0</v>
      </c>
      <c r="P146" s="20">
        <f t="shared" si="37"/>
        <v>6.2567636340000004</v>
      </c>
      <c r="Q146" s="20">
        <f t="shared" si="34"/>
        <v>0</v>
      </c>
      <c r="R146" s="20">
        <f t="shared" si="35"/>
        <v>0</v>
      </c>
    </row>
    <row r="147" spans="2:18">
      <c r="B147" s="30" t="s">
        <v>174</v>
      </c>
      <c r="C147" s="1">
        <v>881</v>
      </c>
      <c r="D147" s="1"/>
      <c r="E147" s="1" t="s">
        <v>214</v>
      </c>
      <c r="F147" s="1" t="s">
        <v>99</v>
      </c>
      <c r="G147" s="1">
        <v>232</v>
      </c>
      <c r="H147" s="1">
        <v>232</v>
      </c>
      <c r="I147" s="1" t="s">
        <v>190</v>
      </c>
      <c r="J147" s="29">
        <v>0.11</v>
      </c>
      <c r="K147" s="29"/>
      <c r="L147" s="26"/>
      <c r="M147" s="18">
        <f t="shared" si="36"/>
        <v>3772.6675359999999</v>
      </c>
      <c r="N147" s="18">
        <f t="shared" si="32"/>
        <v>0</v>
      </c>
      <c r="O147" s="18">
        <f t="shared" si="33"/>
        <v>0</v>
      </c>
      <c r="P147" s="20">
        <f t="shared" si="37"/>
        <v>3.7726675359999997</v>
      </c>
      <c r="Q147" s="20">
        <f t="shared" si="34"/>
        <v>0</v>
      </c>
      <c r="R147" s="20">
        <f t="shared" si="35"/>
        <v>0</v>
      </c>
    </row>
    <row r="148" spans="2:18">
      <c r="B148" s="30" t="s">
        <v>175</v>
      </c>
      <c r="C148" s="1">
        <v>300</v>
      </c>
      <c r="D148" s="1"/>
      <c r="E148" s="1" t="s">
        <v>224</v>
      </c>
      <c r="F148" s="1" t="s">
        <v>56</v>
      </c>
      <c r="G148" s="1">
        <v>439</v>
      </c>
      <c r="H148" s="1">
        <v>224</v>
      </c>
      <c r="I148" s="1" t="s">
        <v>190</v>
      </c>
      <c r="J148" s="29">
        <v>0.11</v>
      </c>
      <c r="K148" s="29"/>
      <c r="L148" s="26"/>
      <c r="M148" s="18">
        <f t="shared" si="36"/>
        <v>2430.9186</v>
      </c>
      <c r="N148" s="18">
        <f t="shared" si="32"/>
        <v>0</v>
      </c>
      <c r="O148" s="18">
        <f t="shared" si="33"/>
        <v>0</v>
      </c>
      <c r="P148" s="20">
        <f t="shared" si="37"/>
        <v>2.4309186</v>
      </c>
      <c r="Q148" s="20">
        <f t="shared" si="34"/>
        <v>0</v>
      </c>
      <c r="R148" s="20">
        <f t="shared" si="35"/>
        <v>0</v>
      </c>
    </row>
    <row r="149" spans="2:18">
      <c r="B149" s="30" t="s">
        <v>176</v>
      </c>
      <c r="C149" s="1">
        <v>177</v>
      </c>
      <c r="D149" s="1"/>
      <c r="E149" s="1" t="s">
        <v>214</v>
      </c>
      <c r="F149" s="1" t="s">
        <v>225</v>
      </c>
      <c r="G149" s="1">
        <v>504</v>
      </c>
      <c r="H149" s="1">
        <v>504</v>
      </c>
      <c r="I149" s="1" t="s">
        <v>190</v>
      </c>
      <c r="J149" s="29">
        <v>0.11</v>
      </c>
      <c r="K149" s="29"/>
      <c r="L149" s="26"/>
      <c r="M149" s="18">
        <f t="shared" si="36"/>
        <v>1646.6012639999999</v>
      </c>
      <c r="N149" s="18">
        <f t="shared" si="32"/>
        <v>0</v>
      </c>
      <c r="O149" s="18">
        <f t="shared" si="33"/>
        <v>0</v>
      </c>
      <c r="P149" s="20">
        <f t="shared" si="37"/>
        <v>1.6466012639999998</v>
      </c>
      <c r="Q149" s="20">
        <f t="shared" si="34"/>
        <v>0</v>
      </c>
      <c r="R149" s="20">
        <f t="shared" si="35"/>
        <v>0</v>
      </c>
    </row>
    <row r="150" spans="2:18">
      <c r="P150" s="20">
        <f>SUM(P131:P149)</f>
        <v>3773.8589666756002</v>
      </c>
      <c r="Q150" s="20">
        <f>SUM(Q131:Q149)</f>
        <v>0</v>
      </c>
      <c r="R150" s="20">
        <f>SUM(R131:R149)</f>
        <v>0</v>
      </c>
    </row>
    <row r="152" spans="2:18">
      <c r="B152" s="102" t="s">
        <v>232</v>
      </c>
    </row>
    <row r="154" spans="2:18" ht="30">
      <c r="B154" s="10" t="s">
        <v>180</v>
      </c>
      <c r="C154" s="13" t="s">
        <v>125</v>
      </c>
      <c r="D154" s="10" t="s">
        <v>233</v>
      </c>
      <c r="E154" s="10"/>
      <c r="F154" s="10"/>
      <c r="G154" s="13" t="s">
        <v>234</v>
      </c>
      <c r="H154" s="13"/>
      <c r="I154" s="13" t="s">
        <v>126</v>
      </c>
      <c r="J154" s="13" t="s">
        <v>52</v>
      </c>
      <c r="K154" s="13" t="s">
        <v>53</v>
      </c>
      <c r="L154" s="13" t="s">
        <v>54</v>
      </c>
      <c r="M154" s="13" t="s">
        <v>52</v>
      </c>
      <c r="N154" s="13" t="s">
        <v>53</v>
      </c>
      <c r="O154" s="13" t="s">
        <v>54</v>
      </c>
      <c r="P154" s="13" t="s">
        <v>52</v>
      </c>
      <c r="Q154" s="13" t="s">
        <v>53</v>
      </c>
      <c r="R154" s="13" t="s">
        <v>54</v>
      </c>
    </row>
    <row r="155" spans="2:18">
      <c r="B155" s="30"/>
      <c r="C155" s="27">
        <f>G3</f>
        <v>2410441.67432022</v>
      </c>
      <c r="D155" s="1">
        <v>4</v>
      </c>
      <c r="E155" s="1"/>
      <c r="F155" s="1"/>
      <c r="G155" s="1">
        <v>5</v>
      </c>
      <c r="H155" s="1"/>
      <c r="I155" s="1" t="s">
        <v>190</v>
      </c>
      <c r="J155" s="29">
        <v>0.11</v>
      </c>
      <c r="K155" s="29"/>
      <c r="L155" s="26"/>
      <c r="M155" s="18">
        <f>J155*$G155*$C155*D155</f>
        <v>5302971.6835044846</v>
      </c>
      <c r="N155" s="18">
        <f>K155*$G155*$C155*2</f>
        <v>0</v>
      </c>
      <c r="O155" s="18">
        <f>L155*$G155*$C155*2</f>
        <v>0</v>
      </c>
      <c r="P155" s="20">
        <f>M155/1000</f>
        <v>5302.9716835044846</v>
      </c>
      <c r="Q155" s="20">
        <f>N155/1000</f>
        <v>0</v>
      </c>
      <c r="R155" s="20">
        <f>O155/1000</f>
        <v>0</v>
      </c>
    </row>
    <row r="160" spans="2:18">
      <c r="B160" t="s">
        <v>452</v>
      </c>
      <c r="J160" s="71" t="s">
        <v>453</v>
      </c>
    </row>
    <row r="161" spans="2:7">
      <c r="B161" s="10"/>
      <c r="C161" s="10" t="s">
        <v>276</v>
      </c>
      <c r="D161" s="10" t="s">
        <v>277</v>
      </c>
      <c r="E161" s="10" t="s">
        <v>278</v>
      </c>
      <c r="F161" s="10" t="s">
        <v>279</v>
      </c>
      <c r="G161" s="10" t="s">
        <v>206</v>
      </c>
    </row>
    <row r="162" spans="2:7">
      <c r="B162" s="1" t="s">
        <v>274</v>
      </c>
      <c r="C162" s="20">
        <f>O28</f>
        <v>11842.879484439511</v>
      </c>
      <c r="D162" s="1">
        <f>R77</f>
        <v>21293.251897882245</v>
      </c>
      <c r="E162" s="20">
        <f>P124</f>
        <v>4872.6084567024</v>
      </c>
      <c r="F162" s="20">
        <f>P155</f>
        <v>5302.9716835044846</v>
      </c>
      <c r="G162" s="20">
        <f>SUM(C162:F162)</f>
        <v>43311.71152252864</v>
      </c>
    </row>
    <row r="163" spans="2:7">
      <c r="B163" s="1" t="s">
        <v>275</v>
      </c>
      <c r="C163" s="20">
        <f>O54</f>
        <v>9172.3678047912272</v>
      </c>
      <c r="D163" s="1">
        <f>R100</f>
        <v>16334.475964966563</v>
      </c>
      <c r="E163" s="20">
        <f>P150</f>
        <v>3773.8589666756002</v>
      </c>
      <c r="F163" s="1"/>
      <c r="G163" s="20">
        <f>SUM(C163:F163)</f>
        <v>29280.702736433392</v>
      </c>
    </row>
    <row r="164" spans="2:7">
      <c r="B164" s="1" t="s">
        <v>206</v>
      </c>
      <c r="C164" s="20">
        <f>SUM(C162:C163)</f>
        <v>21015.247289230738</v>
      </c>
      <c r="D164" s="20">
        <f>SUM(D162:D163)</f>
        <v>37627.727862848806</v>
      </c>
      <c r="E164" s="20">
        <f>SUM(E162:E163)</f>
        <v>8646.4674233780006</v>
      </c>
      <c r="F164" s="20">
        <f>SUM(F162:F163)</f>
        <v>5302.9716835044846</v>
      </c>
      <c r="G164" s="20">
        <f>SUM(G162:G163)</f>
        <v>72592.414258962031</v>
      </c>
    </row>
    <row r="165" spans="2:7">
      <c r="B165" s="1" t="s">
        <v>120</v>
      </c>
      <c r="C165" s="7">
        <f>C164/$G$164</f>
        <v>0.28949646466175027</v>
      </c>
      <c r="D165" s="7">
        <f>D164/$G$164</f>
        <v>0.51834242251012341</v>
      </c>
      <c r="E165" s="7">
        <f>E164/$G$164</f>
        <v>0.11910979282949713</v>
      </c>
      <c r="F165" s="7">
        <f>F164/$G$164</f>
        <v>7.3051319998629141E-2</v>
      </c>
      <c r="G165" s="7">
        <f>G164/$G$164</f>
        <v>1</v>
      </c>
    </row>
  </sheetData>
  <mergeCells count="10">
    <mergeCell ref="B84:B87"/>
    <mergeCell ref="B88:B91"/>
    <mergeCell ref="B92:B95"/>
    <mergeCell ref="B96:B99"/>
    <mergeCell ref="I30:K30"/>
    <mergeCell ref="L30:N30"/>
    <mergeCell ref="O30:Q30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8"/>
  <sheetViews>
    <sheetView showGridLines="0" tabSelected="1" zoomScaleNormal="100" workbookViewId="0">
      <selection activeCell="E14" sqref="E14"/>
    </sheetView>
  </sheetViews>
  <sheetFormatPr defaultColWidth="9.140625" defaultRowHeight="15"/>
  <cols>
    <col min="2" max="2" width="16.7109375" customWidth="1"/>
    <col min="3" max="3" width="16" customWidth="1"/>
    <col min="4" max="4" width="27.5703125" customWidth="1"/>
    <col min="5" max="5" width="20.85546875" customWidth="1"/>
    <col min="6" max="6" width="19.42578125" customWidth="1"/>
    <col min="7" max="7" width="23.85546875" customWidth="1"/>
    <col min="8" max="8" width="26.28515625" customWidth="1"/>
    <col min="9" max="9" width="17.28515625" customWidth="1"/>
    <col min="10" max="10" width="27.28515625" customWidth="1"/>
    <col min="11" max="11" width="23.85546875" customWidth="1"/>
    <col min="12" max="12" width="16.5703125" customWidth="1"/>
    <col min="13" max="13" width="15.85546875" customWidth="1"/>
  </cols>
  <sheetData>
    <row r="1" spans="1:13" s="14" customFormat="1" ht="28.5" customHeight="1">
      <c r="A1" s="14" t="s">
        <v>148</v>
      </c>
    </row>
    <row r="4" spans="1:13">
      <c r="B4" s="71" t="s">
        <v>192</v>
      </c>
    </row>
    <row r="5" spans="1:13" s="17" customFormat="1" ht="61.5" customHeight="1">
      <c r="B5" s="95" t="s">
        <v>145</v>
      </c>
      <c r="C5" s="95" t="s">
        <v>182</v>
      </c>
      <c r="D5" s="95" t="s">
        <v>143</v>
      </c>
      <c r="E5" s="95" t="s">
        <v>138</v>
      </c>
      <c r="F5" s="95" t="s">
        <v>191</v>
      </c>
      <c r="G5" s="95" t="s">
        <v>141</v>
      </c>
      <c r="H5" s="95" t="s">
        <v>183</v>
      </c>
      <c r="I5" s="95" t="s">
        <v>300</v>
      </c>
      <c r="J5" s="95" t="s">
        <v>264</v>
      </c>
      <c r="K5" s="90" t="s">
        <v>235</v>
      </c>
      <c r="L5"/>
      <c r="M5"/>
    </row>
    <row r="6" spans="1:13">
      <c r="B6" s="1" t="s">
        <v>56</v>
      </c>
      <c r="C6" s="5">
        <v>326524</v>
      </c>
      <c r="D6" s="1" t="s">
        <v>134</v>
      </c>
      <c r="E6" s="1" t="s">
        <v>139</v>
      </c>
      <c r="F6" s="1">
        <v>5.3E-3</v>
      </c>
      <c r="G6" s="7">
        <v>0.05</v>
      </c>
      <c r="H6" s="20">
        <f>G6*C6</f>
        <v>16326.2</v>
      </c>
      <c r="I6" s="20">
        <f t="shared" ref="I6:I50" si="0">H6*F6</f>
        <v>86.528860000000009</v>
      </c>
      <c r="J6" s="21">
        <v>28.9</v>
      </c>
      <c r="K6" s="34">
        <f>C6*J6/1000</f>
        <v>9436.5435999999991</v>
      </c>
    </row>
    <row r="7" spans="1:13">
      <c r="B7" s="1" t="s">
        <v>56</v>
      </c>
      <c r="C7" s="5"/>
      <c r="D7" s="1" t="s">
        <v>135</v>
      </c>
      <c r="E7" s="1" t="s">
        <v>140</v>
      </c>
      <c r="F7" s="1">
        <v>8.3000000000000001E-3</v>
      </c>
      <c r="G7" s="7">
        <v>0.26</v>
      </c>
      <c r="H7" s="20">
        <f>G7*C6</f>
        <v>84896.24</v>
      </c>
      <c r="I7" s="20">
        <f t="shared" si="0"/>
        <v>704.63879200000008</v>
      </c>
      <c r="J7" s="21">
        <v>28.9</v>
      </c>
      <c r="K7" s="34"/>
    </row>
    <row r="8" spans="1:13">
      <c r="B8" s="1" t="s">
        <v>56</v>
      </c>
      <c r="C8" s="5"/>
      <c r="D8" s="1" t="s">
        <v>136</v>
      </c>
      <c r="E8" s="1" t="s">
        <v>12</v>
      </c>
      <c r="F8" s="1">
        <v>1.1299999999999999E-2</v>
      </c>
      <c r="G8" s="7">
        <v>0.45</v>
      </c>
      <c r="H8" s="20">
        <f>G8*C6</f>
        <v>146935.80000000002</v>
      </c>
      <c r="I8" s="20">
        <f t="shared" si="0"/>
        <v>1660.37454</v>
      </c>
      <c r="J8" s="21">
        <v>28.9</v>
      </c>
      <c r="K8" s="34"/>
    </row>
    <row r="9" spans="1:13">
      <c r="B9" s="1" t="s">
        <v>56</v>
      </c>
      <c r="C9" s="5"/>
      <c r="D9" s="1" t="s">
        <v>137</v>
      </c>
      <c r="E9" s="1" t="s">
        <v>12</v>
      </c>
      <c r="F9" s="1">
        <v>1.44E-2</v>
      </c>
      <c r="G9" s="7">
        <v>0.01</v>
      </c>
      <c r="H9" s="20">
        <f>G9*C6</f>
        <v>3265.2400000000002</v>
      </c>
      <c r="I9" s="20">
        <f t="shared" si="0"/>
        <v>47.019456000000005</v>
      </c>
      <c r="J9" s="21">
        <v>28.9</v>
      </c>
      <c r="K9" s="34"/>
    </row>
    <row r="10" spans="1:13">
      <c r="B10" s="1" t="s">
        <v>56</v>
      </c>
      <c r="C10" s="5"/>
      <c r="D10" s="1" t="s">
        <v>142</v>
      </c>
      <c r="E10" s="1" t="s">
        <v>146</v>
      </c>
      <c r="F10" s="1">
        <v>0.09</v>
      </c>
      <c r="G10" s="7">
        <v>0</v>
      </c>
      <c r="H10" s="20">
        <f>G10*C6</f>
        <v>0</v>
      </c>
      <c r="I10" s="20">
        <f t="shared" si="0"/>
        <v>0</v>
      </c>
      <c r="J10" s="21">
        <v>28.9</v>
      </c>
      <c r="K10" s="34"/>
    </row>
    <row r="11" spans="1:13">
      <c r="B11" s="1" t="s">
        <v>57</v>
      </c>
      <c r="C11" s="5">
        <v>69821</v>
      </c>
      <c r="D11" s="1" t="s">
        <v>134</v>
      </c>
      <c r="E11" s="1" t="s">
        <v>139</v>
      </c>
      <c r="F11" s="1">
        <v>5.3E-3</v>
      </c>
      <c r="G11" s="7">
        <v>0.05</v>
      </c>
      <c r="H11" s="20">
        <f>G11*C11</f>
        <v>3491.05</v>
      </c>
      <c r="I11" s="20">
        <f t="shared" si="0"/>
        <v>18.502565000000001</v>
      </c>
      <c r="J11" s="21">
        <v>28.9</v>
      </c>
      <c r="K11" s="34">
        <f>C11*J11/1000</f>
        <v>2017.8268999999998</v>
      </c>
    </row>
    <row r="12" spans="1:13">
      <c r="B12" s="1" t="s">
        <v>57</v>
      </c>
      <c r="C12" s="5"/>
      <c r="D12" s="1" t="s">
        <v>135</v>
      </c>
      <c r="E12" s="1" t="s">
        <v>140</v>
      </c>
      <c r="F12" s="1">
        <v>8.3000000000000001E-3</v>
      </c>
      <c r="G12" s="7">
        <v>0.26</v>
      </c>
      <c r="H12" s="20">
        <f>G12*C11</f>
        <v>18153.46</v>
      </c>
      <c r="I12" s="20">
        <f t="shared" si="0"/>
        <v>150.67371800000001</v>
      </c>
      <c r="J12" s="21">
        <v>28.9</v>
      </c>
      <c r="K12" s="34"/>
    </row>
    <row r="13" spans="1:13">
      <c r="B13" s="1" t="s">
        <v>57</v>
      </c>
      <c r="C13" s="5"/>
      <c r="D13" s="1" t="s">
        <v>136</v>
      </c>
      <c r="E13" s="1" t="s">
        <v>12</v>
      </c>
      <c r="F13" s="1">
        <v>1.1299999999999999E-2</v>
      </c>
      <c r="G13" s="7">
        <v>0.45</v>
      </c>
      <c r="H13" s="20">
        <f>G13*C11</f>
        <v>31419.45</v>
      </c>
      <c r="I13" s="20">
        <f t="shared" si="0"/>
        <v>355.03978499999999</v>
      </c>
      <c r="J13" s="21">
        <v>28.9</v>
      </c>
      <c r="K13" s="34"/>
    </row>
    <row r="14" spans="1:13">
      <c r="B14" s="1" t="s">
        <v>57</v>
      </c>
      <c r="C14" s="5"/>
      <c r="D14" s="1" t="s">
        <v>137</v>
      </c>
      <c r="E14" s="1" t="s">
        <v>12</v>
      </c>
      <c r="F14" s="1">
        <v>1.44E-2</v>
      </c>
      <c r="G14" s="7">
        <v>0.01</v>
      </c>
      <c r="H14" s="20">
        <f>G14*C11</f>
        <v>698.21</v>
      </c>
      <c r="I14" s="20">
        <f t="shared" si="0"/>
        <v>10.054224</v>
      </c>
      <c r="J14" s="21">
        <v>28.9</v>
      </c>
      <c r="K14" s="34"/>
    </row>
    <row r="15" spans="1:13">
      <c r="B15" s="1" t="s">
        <v>57</v>
      </c>
      <c r="C15" s="5"/>
      <c r="D15" s="1" t="s">
        <v>142</v>
      </c>
      <c r="E15" s="1" t="s">
        <v>146</v>
      </c>
      <c r="F15" s="1">
        <v>0.09</v>
      </c>
      <c r="G15" s="7">
        <v>0</v>
      </c>
      <c r="H15" s="20">
        <f>G15*C11</f>
        <v>0</v>
      </c>
      <c r="I15" s="20">
        <f t="shared" si="0"/>
        <v>0</v>
      </c>
      <c r="J15" s="21">
        <v>28.9</v>
      </c>
      <c r="K15" s="34"/>
    </row>
    <row r="16" spans="1:13">
      <c r="B16" s="1" t="s">
        <v>55</v>
      </c>
      <c r="C16" s="5">
        <v>302534</v>
      </c>
      <c r="D16" s="1" t="s">
        <v>134</v>
      </c>
      <c r="E16" s="1" t="s">
        <v>139</v>
      </c>
      <c r="F16" s="1">
        <v>5.3E-3</v>
      </c>
      <c r="G16" s="7">
        <v>0.05</v>
      </c>
      <c r="H16" s="20">
        <f>G16*C16</f>
        <v>15126.7</v>
      </c>
      <c r="I16" s="20">
        <f t="shared" si="0"/>
        <v>80.171509999999998</v>
      </c>
      <c r="J16" s="21">
        <v>28.9</v>
      </c>
      <c r="K16" s="34">
        <f>C16*J16/1000</f>
        <v>8743.2325999999994</v>
      </c>
    </row>
    <row r="17" spans="2:11">
      <c r="B17" s="1" t="s">
        <v>55</v>
      </c>
      <c r="C17" s="5"/>
      <c r="D17" s="1" t="s">
        <v>135</v>
      </c>
      <c r="E17" s="1" t="s">
        <v>140</v>
      </c>
      <c r="F17" s="1">
        <v>8.3000000000000001E-3</v>
      </c>
      <c r="G17" s="7">
        <v>0.26</v>
      </c>
      <c r="H17" s="20">
        <f>G17*C16</f>
        <v>78658.84</v>
      </c>
      <c r="I17" s="20">
        <f t="shared" si="0"/>
        <v>652.86837200000002</v>
      </c>
      <c r="J17" s="21">
        <v>28.9</v>
      </c>
      <c r="K17" s="34"/>
    </row>
    <row r="18" spans="2:11">
      <c r="B18" s="1" t="s">
        <v>55</v>
      </c>
      <c r="C18" s="5"/>
      <c r="D18" s="1" t="s">
        <v>136</v>
      </c>
      <c r="E18" s="1" t="s">
        <v>12</v>
      </c>
      <c r="F18" s="1">
        <v>1.1299999999999999E-2</v>
      </c>
      <c r="G18" s="7">
        <v>0.45</v>
      </c>
      <c r="H18" s="20">
        <f>G18*C16</f>
        <v>136140.30000000002</v>
      </c>
      <c r="I18" s="20">
        <f t="shared" si="0"/>
        <v>1538.3853900000001</v>
      </c>
      <c r="J18" s="21">
        <v>28.9</v>
      </c>
      <c r="K18" s="34"/>
    </row>
    <row r="19" spans="2:11">
      <c r="B19" s="1" t="s">
        <v>55</v>
      </c>
      <c r="C19" s="5"/>
      <c r="D19" s="1" t="s">
        <v>137</v>
      </c>
      <c r="E19" s="1" t="s">
        <v>12</v>
      </c>
      <c r="F19" s="1">
        <v>1.44E-2</v>
      </c>
      <c r="G19" s="7">
        <v>0.01</v>
      </c>
      <c r="H19" s="20">
        <f>G19*C16</f>
        <v>3025.34</v>
      </c>
      <c r="I19" s="20">
        <f t="shared" si="0"/>
        <v>43.564895999999997</v>
      </c>
      <c r="J19" s="21">
        <v>28.9</v>
      </c>
      <c r="K19" s="34"/>
    </row>
    <row r="20" spans="2:11">
      <c r="B20" s="1" t="s">
        <v>55</v>
      </c>
      <c r="C20" s="5"/>
      <c r="D20" s="1" t="s">
        <v>142</v>
      </c>
      <c r="E20" s="1" t="s">
        <v>146</v>
      </c>
      <c r="F20" s="1">
        <v>0.09</v>
      </c>
      <c r="G20" s="7">
        <v>0</v>
      </c>
      <c r="H20" s="20">
        <f>G20*C16</f>
        <v>0</v>
      </c>
      <c r="I20" s="20">
        <f t="shared" si="0"/>
        <v>0</v>
      </c>
      <c r="J20" s="21">
        <v>28.9</v>
      </c>
      <c r="K20" s="34"/>
    </row>
    <row r="21" spans="2:11">
      <c r="B21" s="1" t="s">
        <v>100</v>
      </c>
      <c r="C21" s="5">
        <v>57505</v>
      </c>
      <c r="D21" s="1" t="s">
        <v>134</v>
      </c>
      <c r="E21" s="1" t="s">
        <v>139</v>
      </c>
      <c r="F21" s="1">
        <v>5.3E-3</v>
      </c>
      <c r="G21" s="7">
        <v>0.05</v>
      </c>
      <c r="H21" s="20">
        <f>G21*C21</f>
        <v>2875.25</v>
      </c>
      <c r="I21" s="20">
        <f t="shared" si="0"/>
        <v>15.238825</v>
      </c>
      <c r="J21" s="21">
        <v>28.9</v>
      </c>
      <c r="K21" s="34">
        <f>C21*J21/1000</f>
        <v>1661.8945000000001</v>
      </c>
    </row>
    <row r="22" spans="2:11">
      <c r="B22" s="1" t="s">
        <v>100</v>
      </c>
      <c r="C22" s="5"/>
      <c r="D22" s="1" t="s">
        <v>135</v>
      </c>
      <c r="E22" s="1" t="s">
        <v>140</v>
      </c>
      <c r="F22" s="1">
        <v>8.3000000000000001E-3</v>
      </c>
      <c r="G22" s="7">
        <v>0.26</v>
      </c>
      <c r="H22" s="20">
        <f>G22*C21</f>
        <v>14951.300000000001</v>
      </c>
      <c r="I22" s="20">
        <f t="shared" si="0"/>
        <v>124.09579000000001</v>
      </c>
      <c r="J22" s="21">
        <v>28.9</v>
      </c>
      <c r="K22" s="34"/>
    </row>
    <row r="23" spans="2:11">
      <c r="B23" s="1" t="s">
        <v>100</v>
      </c>
      <c r="C23" s="5"/>
      <c r="D23" s="1" t="s">
        <v>136</v>
      </c>
      <c r="E23" s="1" t="s">
        <v>12</v>
      </c>
      <c r="F23" s="1">
        <v>1.1299999999999999E-2</v>
      </c>
      <c r="G23" s="7">
        <v>0.45</v>
      </c>
      <c r="H23" s="20">
        <f>G23*C21</f>
        <v>25877.25</v>
      </c>
      <c r="I23" s="20">
        <f t="shared" si="0"/>
        <v>292.41292499999997</v>
      </c>
      <c r="J23" s="21">
        <v>28.9</v>
      </c>
      <c r="K23" s="34"/>
    </row>
    <row r="24" spans="2:11">
      <c r="B24" s="1" t="s">
        <v>100</v>
      </c>
      <c r="C24" s="5"/>
      <c r="D24" s="1" t="s">
        <v>137</v>
      </c>
      <c r="E24" s="1" t="s">
        <v>12</v>
      </c>
      <c r="F24" s="1">
        <v>1.44E-2</v>
      </c>
      <c r="G24" s="7">
        <v>0.01</v>
      </c>
      <c r="H24" s="20">
        <f>G24*C21</f>
        <v>575.05000000000007</v>
      </c>
      <c r="I24" s="20">
        <f t="shared" si="0"/>
        <v>8.2807200000000005</v>
      </c>
      <c r="J24" s="21">
        <v>28.9</v>
      </c>
      <c r="K24" s="34"/>
    </row>
    <row r="25" spans="2:11">
      <c r="B25" s="1" t="s">
        <v>100</v>
      </c>
      <c r="C25" s="5"/>
      <c r="D25" s="1" t="s">
        <v>142</v>
      </c>
      <c r="E25" s="1" t="s">
        <v>146</v>
      </c>
      <c r="F25" s="1">
        <v>0.09</v>
      </c>
      <c r="G25" s="7">
        <v>0</v>
      </c>
      <c r="H25" s="20">
        <f>G25*C21</f>
        <v>0</v>
      </c>
      <c r="I25" s="20">
        <f t="shared" si="0"/>
        <v>0</v>
      </c>
      <c r="J25" s="21">
        <v>28.9</v>
      </c>
      <c r="K25" s="34"/>
    </row>
    <row r="26" spans="2:11">
      <c r="B26" s="1" t="s">
        <v>103</v>
      </c>
      <c r="C26" s="5">
        <v>55976</v>
      </c>
      <c r="D26" s="1" t="s">
        <v>134</v>
      </c>
      <c r="E26" s="1" t="s">
        <v>139</v>
      </c>
      <c r="F26" s="1">
        <v>5.3E-3</v>
      </c>
      <c r="G26" s="7">
        <v>0.05</v>
      </c>
      <c r="H26" s="20">
        <f>G26*C26</f>
        <v>2798.8</v>
      </c>
      <c r="I26" s="20">
        <f t="shared" si="0"/>
        <v>14.833640000000001</v>
      </c>
      <c r="J26" s="21">
        <v>28.9</v>
      </c>
      <c r="K26" s="34">
        <f>C26*J26/1000</f>
        <v>1617.7063999999998</v>
      </c>
    </row>
    <row r="27" spans="2:11">
      <c r="B27" s="1" t="s">
        <v>103</v>
      </c>
      <c r="C27" s="5"/>
      <c r="D27" s="1" t="s">
        <v>135</v>
      </c>
      <c r="E27" s="1" t="s">
        <v>140</v>
      </c>
      <c r="F27" s="1">
        <v>8.3000000000000001E-3</v>
      </c>
      <c r="G27" s="7">
        <v>0.26</v>
      </c>
      <c r="H27" s="20">
        <f>G27*C26</f>
        <v>14553.76</v>
      </c>
      <c r="I27" s="20">
        <f t="shared" si="0"/>
        <v>120.79620800000001</v>
      </c>
      <c r="J27" s="21">
        <v>28.9</v>
      </c>
      <c r="K27" s="34"/>
    </row>
    <row r="28" spans="2:11">
      <c r="B28" s="1" t="s">
        <v>103</v>
      </c>
      <c r="C28" s="5"/>
      <c r="D28" s="1" t="s">
        <v>136</v>
      </c>
      <c r="E28" s="1" t="s">
        <v>12</v>
      </c>
      <c r="F28" s="1">
        <v>1.1299999999999999E-2</v>
      </c>
      <c r="G28" s="7">
        <v>0.45</v>
      </c>
      <c r="H28" s="20">
        <f>G28*C26</f>
        <v>25189.200000000001</v>
      </c>
      <c r="I28" s="20">
        <f t="shared" si="0"/>
        <v>284.63795999999996</v>
      </c>
      <c r="J28" s="21">
        <v>28.9</v>
      </c>
      <c r="K28" s="34"/>
    </row>
    <row r="29" spans="2:11">
      <c r="B29" s="1" t="s">
        <v>103</v>
      </c>
      <c r="C29" s="5"/>
      <c r="D29" s="1" t="s">
        <v>137</v>
      </c>
      <c r="E29" s="1" t="s">
        <v>12</v>
      </c>
      <c r="F29" s="1">
        <v>1.44E-2</v>
      </c>
      <c r="G29" s="7">
        <v>0.01</v>
      </c>
      <c r="H29" s="20">
        <f>G29*C26</f>
        <v>559.76</v>
      </c>
      <c r="I29" s="20">
        <f t="shared" si="0"/>
        <v>8.0605440000000002</v>
      </c>
      <c r="J29" s="21">
        <v>28.9</v>
      </c>
      <c r="K29" s="34"/>
    </row>
    <row r="30" spans="2:11">
      <c r="B30" s="1" t="s">
        <v>103</v>
      </c>
      <c r="C30" s="5"/>
      <c r="D30" s="1" t="s">
        <v>142</v>
      </c>
      <c r="E30" s="1" t="s">
        <v>146</v>
      </c>
      <c r="F30" s="1">
        <v>0.09</v>
      </c>
      <c r="G30" s="7">
        <v>0</v>
      </c>
      <c r="H30" s="20">
        <f>G30*C26</f>
        <v>0</v>
      </c>
      <c r="I30" s="20">
        <f t="shared" si="0"/>
        <v>0</v>
      </c>
      <c r="J30" s="21">
        <v>28.9</v>
      </c>
      <c r="K30" s="34"/>
    </row>
    <row r="31" spans="2:11">
      <c r="B31" s="1" t="s">
        <v>149</v>
      </c>
      <c r="C31" s="5">
        <v>20915</v>
      </c>
      <c r="D31" s="1" t="s">
        <v>134</v>
      </c>
      <c r="E31" s="1" t="s">
        <v>139</v>
      </c>
      <c r="F31" s="1">
        <v>5.3E-3</v>
      </c>
      <c r="G31" s="7">
        <v>0.05</v>
      </c>
      <c r="H31" s="20">
        <f>G31*C31</f>
        <v>1045.75</v>
      </c>
      <c r="I31" s="20">
        <f t="shared" si="0"/>
        <v>5.5424749999999996</v>
      </c>
      <c r="J31" s="21">
        <v>28.9</v>
      </c>
      <c r="K31" s="34">
        <f>C31*J31/1000</f>
        <v>604.44349999999997</v>
      </c>
    </row>
    <row r="32" spans="2:11">
      <c r="B32" s="1" t="s">
        <v>149</v>
      </c>
      <c r="C32" s="5"/>
      <c r="D32" s="1" t="s">
        <v>135</v>
      </c>
      <c r="E32" s="1" t="s">
        <v>140</v>
      </c>
      <c r="F32" s="1">
        <v>8.3000000000000001E-3</v>
      </c>
      <c r="G32" s="7">
        <v>0.26</v>
      </c>
      <c r="H32" s="20">
        <f>G32*C31</f>
        <v>5437.9000000000005</v>
      </c>
      <c r="I32" s="20">
        <f t="shared" si="0"/>
        <v>45.134570000000004</v>
      </c>
      <c r="J32" s="21">
        <v>28.9</v>
      </c>
      <c r="K32" s="34"/>
    </row>
    <row r="33" spans="2:11">
      <c r="B33" s="1" t="s">
        <v>149</v>
      </c>
      <c r="C33" s="5"/>
      <c r="D33" s="1" t="s">
        <v>136</v>
      </c>
      <c r="E33" s="1" t="s">
        <v>12</v>
      </c>
      <c r="F33" s="1">
        <v>1.1299999999999999E-2</v>
      </c>
      <c r="G33" s="7">
        <v>0.45</v>
      </c>
      <c r="H33" s="20">
        <f>G33*C31</f>
        <v>9411.75</v>
      </c>
      <c r="I33" s="20">
        <f t="shared" si="0"/>
        <v>106.35277499999999</v>
      </c>
      <c r="J33" s="21">
        <v>28.9</v>
      </c>
      <c r="K33" s="34"/>
    </row>
    <row r="34" spans="2:11">
      <c r="B34" s="1" t="s">
        <v>149</v>
      </c>
      <c r="C34" s="5"/>
      <c r="D34" s="1" t="s">
        <v>137</v>
      </c>
      <c r="E34" s="1" t="s">
        <v>12</v>
      </c>
      <c r="F34" s="1">
        <v>1.44E-2</v>
      </c>
      <c r="G34" s="7">
        <v>0.01</v>
      </c>
      <c r="H34" s="20">
        <f>G34*C31</f>
        <v>209.15</v>
      </c>
      <c r="I34" s="20">
        <f t="shared" si="0"/>
        <v>3.0117600000000002</v>
      </c>
      <c r="J34" s="21">
        <v>28.9</v>
      </c>
      <c r="K34" s="34"/>
    </row>
    <row r="35" spans="2:11">
      <c r="B35" s="1" t="s">
        <v>149</v>
      </c>
      <c r="C35" s="5"/>
      <c r="D35" s="1" t="s">
        <v>142</v>
      </c>
      <c r="E35" s="1" t="s">
        <v>146</v>
      </c>
      <c r="F35" s="1">
        <v>0.09</v>
      </c>
      <c r="G35" s="7">
        <v>0</v>
      </c>
      <c r="H35" s="20">
        <f>G35*C31</f>
        <v>0</v>
      </c>
      <c r="I35" s="20">
        <f t="shared" si="0"/>
        <v>0</v>
      </c>
      <c r="J35" s="21">
        <v>28.9</v>
      </c>
      <c r="K35" s="34"/>
    </row>
    <row r="36" spans="2:11">
      <c r="B36" s="1" t="s">
        <v>99</v>
      </c>
      <c r="C36" s="5">
        <v>15949</v>
      </c>
      <c r="D36" s="1" t="s">
        <v>134</v>
      </c>
      <c r="E36" s="1" t="s">
        <v>139</v>
      </c>
      <c r="F36" s="1">
        <v>5.3E-3</v>
      </c>
      <c r="G36" s="7">
        <v>0.05</v>
      </c>
      <c r="H36" s="20">
        <f>G36*C36</f>
        <v>797.45</v>
      </c>
      <c r="I36" s="20">
        <f t="shared" si="0"/>
        <v>4.2264850000000003</v>
      </c>
      <c r="J36" s="21">
        <v>28.9</v>
      </c>
      <c r="K36" s="34">
        <f>C36*J36/1000</f>
        <v>460.92609999999996</v>
      </c>
    </row>
    <row r="37" spans="2:11">
      <c r="B37" s="1" t="s">
        <v>99</v>
      </c>
      <c r="C37" s="5"/>
      <c r="D37" s="1" t="s">
        <v>135</v>
      </c>
      <c r="E37" s="1" t="s">
        <v>140</v>
      </c>
      <c r="F37" s="1">
        <v>8.3000000000000001E-3</v>
      </c>
      <c r="G37" s="7">
        <v>0.26</v>
      </c>
      <c r="H37" s="20">
        <f>G37*C36</f>
        <v>4146.74</v>
      </c>
      <c r="I37" s="20">
        <f t="shared" si="0"/>
        <v>34.417941999999996</v>
      </c>
      <c r="J37" s="21">
        <v>28.9</v>
      </c>
      <c r="K37" s="34"/>
    </row>
    <row r="38" spans="2:11">
      <c r="B38" s="1" t="s">
        <v>99</v>
      </c>
      <c r="C38" s="5"/>
      <c r="D38" s="1" t="s">
        <v>136</v>
      </c>
      <c r="E38" s="1" t="s">
        <v>12</v>
      </c>
      <c r="F38" s="1">
        <v>1.1299999999999999E-2</v>
      </c>
      <c r="G38" s="7">
        <v>0.45</v>
      </c>
      <c r="H38" s="20">
        <f>G38*C36</f>
        <v>7177.05</v>
      </c>
      <c r="I38" s="20">
        <f t="shared" si="0"/>
        <v>81.100664999999992</v>
      </c>
      <c r="J38" s="21">
        <v>28.9</v>
      </c>
      <c r="K38" s="34"/>
    </row>
    <row r="39" spans="2:11">
      <c r="B39" s="1" t="s">
        <v>99</v>
      </c>
      <c r="C39" s="5"/>
      <c r="D39" s="1" t="s">
        <v>137</v>
      </c>
      <c r="E39" s="1" t="s">
        <v>12</v>
      </c>
      <c r="F39" s="1">
        <v>1.44E-2</v>
      </c>
      <c r="G39" s="7">
        <v>0.01</v>
      </c>
      <c r="H39" s="20">
        <f>G39*C36</f>
        <v>159.49</v>
      </c>
      <c r="I39" s="20">
        <f t="shared" si="0"/>
        <v>2.296656</v>
      </c>
      <c r="J39" s="21">
        <v>28.9</v>
      </c>
      <c r="K39" s="34"/>
    </row>
    <row r="40" spans="2:11">
      <c r="B40" s="1" t="s">
        <v>99</v>
      </c>
      <c r="C40" s="5"/>
      <c r="D40" s="1" t="s">
        <v>142</v>
      </c>
      <c r="E40" s="1" t="s">
        <v>146</v>
      </c>
      <c r="F40" s="1">
        <v>0.09</v>
      </c>
      <c r="G40" s="7">
        <v>0</v>
      </c>
      <c r="H40" s="20">
        <f>G40*C36</f>
        <v>0</v>
      </c>
      <c r="I40" s="20">
        <f t="shared" si="0"/>
        <v>0</v>
      </c>
      <c r="J40" s="21">
        <v>28.9</v>
      </c>
      <c r="K40" s="34"/>
    </row>
    <row r="41" spans="2:11">
      <c r="B41" s="1" t="s">
        <v>181</v>
      </c>
      <c r="C41" s="5">
        <v>5133</v>
      </c>
      <c r="D41" s="1" t="s">
        <v>134</v>
      </c>
      <c r="E41" s="1" t="s">
        <v>139</v>
      </c>
      <c r="F41" s="1">
        <v>5.3E-3</v>
      </c>
      <c r="G41" s="7">
        <v>0.05</v>
      </c>
      <c r="H41" s="20">
        <f>G41*C41</f>
        <v>256.65000000000003</v>
      </c>
      <c r="I41" s="20">
        <f t="shared" si="0"/>
        <v>1.3602450000000001</v>
      </c>
      <c r="J41" s="21">
        <v>28.9</v>
      </c>
      <c r="K41" s="34">
        <f>C41*J41/1000</f>
        <v>148.34369999999998</v>
      </c>
    </row>
    <row r="42" spans="2:11">
      <c r="B42" s="1" t="s">
        <v>181</v>
      </c>
      <c r="C42" s="5"/>
      <c r="D42" s="1" t="s">
        <v>135</v>
      </c>
      <c r="E42" s="1" t="s">
        <v>140</v>
      </c>
      <c r="F42" s="1">
        <v>8.3000000000000001E-3</v>
      </c>
      <c r="G42" s="7">
        <v>0.26</v>
      </c>
      <c r="H42" s="20">
        <f>G42*C41</f>
        <v>1334.5800000000002</v>
      </c>
      <c r="I42" s="20">
        <f t="shared" si="0"/>
        <v>11.077014000000002</v>
      </c>
      <c r="J42" s="21">
        <v>28.9</v>
      </c>
      <c r="K42" s="34"/>
    </row>
    <row r="43" spans="2:11">
      <c r="B43" s="1" t="s">
        <v>181</v>
      </c>
      <c r="C43" s="5"/>
      <c r="D43" s="1" t="s">
        <v>136</v>
      </c>
      <c r="E43" s="1" t="s">
        <v>12</v>
      </c>
      <c r="F43" s="1">
        <v>1.1299999999999999E-2</v>
      </c>
      <c r="G43" s="7">
        <v>0.45</v>
      </c>
      <c r="H43" s="20">
        <f>G43*C41</f>
        <v>2309.85</v>
      </c>
      <c r="I43" s="20">
        <f t="shared" si="0"/>
        <v>26.101304999999996</v>
      </c>
      <c r="J43" s="21">
        <v>28.9</v>
      </c>
      <c r="K43" s="34"/>
    </row>
    <row r="44" spans="2:11">
      <c r="B44" s="1" t="s">
        <v>181</v>
      </c>
      <c r="C44" s="5"/>
      <c r="D44" s="1" t="s">
        <v>137</v>
      </c>
      <c r="E44" s="1" t="s">
        <v>12</v>
      </c>
      <c r="F44" s="1">
        <v>1.44E-2</v>
      </c>
      <c r="G44" s="7">
        <v>0.01</v>
      </c>
      <c r="H44" s="20">
        <f>G44*C41</f>
        <v>51.33</v>
      </c>
      <c r="I44" s="20">
        <f t="shared" si="0"/>
        <v>0.73915199999999992</v>
      </c>
      <c r="J44" s="21">
        <v>28.9</v>
      </c>
      <c r="K44" s="34"/>
    </row>
    <row r="45" spans="2:11">
      <c r="B45" s="1" t="s">
        <v>181</v>
      </c>
      <c r="C45" s="5"/>
      <c r="D45" s="1" t="s">
        <v>142</v>
      </c>
      <c r="E45" s="1" t="s">
        <v>146</v>
      </c>
      <c r="F45" s="1">
        <v>0.09</v>
      </c>
      <c r="G45" s="7">
        <v>0</v>
      </c>
      <c r="H45" s="20">
        <f>G45*C41</f>
        <v>0</v>
      </c>
      <c r="I45" s="20">
        <f t="shared" si="0"/>
        <v>0</v>
      </c>
      <c r="J45" s="21">
        <v>28.9</v>
      </c>
      <c r="K45" s="34"/>
    </row>
    <row r="46" spans="2:11">
      <c r="B46" s="1" t="s">
        <v>171</v>
      </c>
      <c r="C46" s="5">
        <v>5578</v>
      </c>
      <c r="D46" s="1" t="s">
        <v>134</v>
      </c>
      <c r="E46" s="1" t="s">
        <v>139</v>
      </c>
      <c r="F46" s="1">
        <v>5.3E-3</v>
      </c>
      <c r="G46" s="7">
        <v>0.05</v>
      </c>
      <c r="H46" s="20">
        <f>G46*C46</f>
        <v>278.90000000000003</v>
      </c>
      <c r="I46" s="20">
        <f t="shared" si="0"/>
        <v>1.4781700000000002</v>
      </c>
      <c r="J46" s="21">
        <v>28.9</v>
      </c>
      <c r="K46" s="34">
        <f>C46*J46/1000</f>
        <v>161.20419999999999</v>
      </c>
    </row>
    <row r="47" spans="2:11">
      <c r="B47" s="1" t="s">
        <v>171</v>
      </c>
      <c r="C47" s="5"/>
      <c r="D47" s="1" t="s">
        <v>135</v>
      </c>
      <c r="E47" s="1" t="s">
        <v>140</v>
      </c>
      <c r="F47" s="1">
        <v>8.3000000000000001E-3</v>
      </c>
      <c r="G47" s="7">
        <v>0.26</v>
      </c>
      <c r="H47" s="20">
        <f>G47*C46</f>
        <v>1450.28</v>
      </c>
      <c r="I47" s="20">
        <f t="shared" si="0"/>
        <v>12.037324</v>
      </c>
      <c r="J47" s="21">
        <v>28.9</v>
      </c>
      <c r="K47" s="34"/>
    </row>
    <row r="48" spans="2:11">
      <c r="B48" s="1" t="s">
        <v>171</v>
      </c>
      <c r="C48" s="5"/>
      <c r="D48" s="1" t="s">
        <v>136</v>
      </c>
      <c r="E48" s="1" t="s">
        <v>12</v>
      </c>
      <c r="F48" s="1">
        <v>1.1299999999999999E-2</v>
      </c>
      <c r="G48" s="7">
        <v>0.45</v>
      </c>
      <c r="H48" s="20">
        <f>G48*C46</f>
        <v>2510.1</v>
      </c>
      <c r="I48" s="20">
        <f t="shared" si="0"/>
        <v>28.364129999999996</v>
      </c>
      <c r="J48" s="21">
        <v>28.9</v>
      </c>
      <c r="K48" s="34"/>
    </row>
    <row r="49" spans="2:11">
      <c r="B49" s="1" t="s">
        <v>171</v>
      </c>
      <c r="C49" s="5"/>
      <c r="D49" s="1" t="s">
        <v>137</v>
      </c>
      <c r="E49" s="1" t="s">
        <v>12</v>
      </c>
      <c r="F49" s="1">
        <v>1.44E-2</v>
      </c>
      <c r="G49" s="7">
        <v>0.01</v>
      </c>
      <c r="H49" s="20">
        <f>G49*C46</f>
        <v>55.78</v>
      </c>
      <c r="I49" s="20">
        <f t="shared" si="0"/>
        <v>0.80323199999999995</v>
      </c>
      <c r="J49" s="21">
        <v>28.9</v>
      </c>
      <c r="K49" s="34"/>
    </row>
    <row r="50" spans="2:11">
      <c r="B50" s="1" t="s">
        <v>171</v>
      </c>
      <c r="C50" s="5"/>
      <c r="D50" s="1" t="s">
        <v>142</v>
      </c>
      <c r="E50" s="1" t="s">
        <v>146</v>
      </c>
      <c r="F50" s="1">
        <v>0.09</v>
      </c>
      <c r="G50" s="7">
        <v>0</v>
      </c>
      <c r="H50" s="20">
        <f>G50*C46</f>
        <v>0</v>
      </c>
      <c r="I50" s="20">
        <f t="shared" si="0"/>
        <v>0</v>
      </c>
      <c r="J50" s="21">
        <v>28.9</v>
      </c>
      <c r="K50" s="34"/>
    </row>
    <row r="51" spans="2:11" ht="15.75" customHeight="1">
      <c r="B51" s="16"/>
      <c r="C51" s="39">
        <f>SUM(C6:C50)</f>
        <v>859935</v>
      </c>
      <c r="D51" s="16"/>
      <c r="E51" s="16"/>
      <c r="F51" s="16"/>
      <c r="G51" s="16"/>
      <c r="H51" s="37">
        <f>SUM(H6:H50)</f>
        <v>662149.95000000019</v>
      </c>
      <c r="I51" s="20">
        <f>SUM(I6:I50)</f>
        <v>6580.2226200000014</v>
      </c>
      <c r="J51" s="1"/>
      <c r="K51" s="34">
        <f>SUM(K6:K50)</f>
        <v>24852.121500000001</v>
      </c>
    </row>
    <row r="52" spans="2:11" ht="15.75" customHeight="1">
      <c r="B52" s="146" t="s">
        <v>196</v>
      </c>
      <c r="C52" s="146"/>
      <c r="D52" s="146"/>
      <c r="E52" s="146"/>
      <c r="F52" s="146"/>
      <c r="G52" s="146"/>
      <c r="H52" s="146"/>
      <c r="J52" s="25"/>
    </row>
    <row r="53" spans="2:11">
      <c r="J53" s="25"/>
    </row>
    <row r="54" spans="2:11">
      <c r="B54" s="71" t="s">
        <v>193</v>
      </c>
    </row>
    <row r="55" spans="2:11" ht="30">
      <c r="B55" s="95" t="s">
        <v>145</v>
      </c>
      <c r="C55" s="95" t="s">
        <v>197</v>
      </c>
      <c r="D55" s="95" t="s">
        <v>143</v>
      </c>
      <c r="E55" s="95" t="s">
        <v>138</v>
      </c>
      <c r="F55" s="95" t="s">
        <v>191</v>
      </c>
      <c r="G55" s="95" t="s">
        <v>141</v>
      </c>
      <c r="H55" s="95" t="s">
        <v>144</v>
      </c>
      <c r="I55" s="95" t="s">
        <v>198</v>
      </c>
      <c r="J55" s="95" t="s">
        <v>300</v>
      </c>
    </row>
    <row r="56" spans="2:11">
      <c r="B56" s="1" t="s">
        <v>56</v>
      </c>
      <c r="C56" s="5">
        <v>314869</v>
      </c>
      <c r="D56" s="1" t="s">
        <v>134</v>
      </c>
      <c r="E56" s="1" t="s">
        <v>139</v>
      </c>
      <c r="F56" s="1">
        <v>5.3E-3</v>
      </c>
      <c r="G56" s="7">
        <v>0.1273</v>
      </c>
      <c r="H56" s="28">
        <v>3.7</v>
      </c>
      <c r="I56" s="31">
        <f>H56*G56*$C$56</f>
        <v>148306.44769</v>
      </c>
      <c r="J56" s="20">
        <f>I56*F56</f>
        <v>786.02417275699997</v>
      </c>
    </row>
    <row r="57" spans="2:11">
      <c r="B57" s="1" t="s">
        <v>56</v>
      </c>
      <c r="C57" s="5"/>
      <c r="D57" s="1" t="s">
        <v>135</v>
      </c>
      <c r="E57" s="1" t="s">
        <v>140</v>
      </c>
      <c r="F57" s="1">
        <v>8.3000000000000001E-3</v>
      </c>
      <c r="G57" s="7">
        <v>3.2199999999999999E-2</v>
      </c>
      <c r="H57" s="28">
        <v>3.7</v>
      </c>
      <c r="I57" s="31">
        <f>H57*G57*$C$56</f>
        <v>37513.492660000004</v>
      </c>
      <c r="J57" s="20">
        <f t="shared" ref="J57:J75" si="1">I57*F57</f>
        <v>311.36198907800002</v>
      </c>
    </row>
    <row r="58" spans="2:11">
      <c r="B58" s="1" t="s">
        <v>56</v>
      </c>
      <c r="C58" s="5"/>
      <c r="D58" s="1" t="s">
        <v>136</v>
      </c>
      <c r="E58" s="1" t="s">
        <v>12</v>
      </c>
      <c r="F58" s="1">
        <v>1.1299999999999999E-2</v>
      </c>
      <c r="G58" s="7">
        <v>3.8699999999999998E-2</v>
      </c>
      <c r="H58" s="28">
        <v>3.7</v>
      </c>
      <c r="I58" s="31">
        <f>H58*G58*$C$56</f>
        <v>45086.092110000005</v>
      </c>
      <c r="J58" s="20">
        <f t="shared" si="1"/>
        <v>509.47284084300003</v>
      </c>
    </row>
    <row r="59" spans="2:11">
      <c r="B59" s="1" t="s">
        <v>56</v>
      </c>
      <c r="C59" s="5"/>
      <c r="D59" s="1" t="s">
        <v>137</v>
      </c>
      <c r="E59" s="1" t="s">
        <v>12</v>
      </c>
      <c r="F59" s="1">
        <v>1.44E-2</v>
      </c>
      <c r="G59" s="7"/>
      <c r="H59" s="28">
        <v>3.7</v>
      </c>
      <c r="I59" s="31">
        <f>H59*G59*$C$56</f>
        <v>0</v>
      </c>
      <c r="J59" s="20">
        <f t="shared" si="1"/>
        <v>0</v>
      </c>
    </row>
    <row r="60" spans="2:11">
      <c r="B60" s="1" t="s">
        <v>56</v>
      </c>
      <c r="C60" s="5"/>
      <c r="D60" s="1" t="s">
        <v>142</v>
      </c>
      <c r="E60" s="1" t="s">
        <v>146</v>
      </c>
      <c r="F60" s="1">
        <v>0.09</v>
      </c>
      <c r="G60" s="7">
        <v>2.3399999999999997E-2</v>
      </c>
      <c r="H60" s="28">
        <v>3.7</v>
      </c>
      <c r="I60" s="31">
        <f>H60*G60*$C$56</f>
        <v>27261.358019999996</v>
      </c>
      <c r="J60" s="20">
        <f t="shared" si="1"/>
        <v>2453.5222217999994</v>
      </c>
    </row>
    <row r="61" spans="2:11">
      <c r="B61" s="1" t="s">
        <v>57</v>
      </c>
      <c r="C61" s="1">
        <v>180863</v>
      </c>
      <c r="D61" s="1" t="s">
        <v>134</v>
      </c>
      <c r="E61" s="1" t="s">
        <v>139</v>
      </c>
      <c r="F61" s="1">
        <v>5.3E-3</v>
      </c>
      <c r="G61" s="7">
        <v>0.1273</v>
      </c>
      <c r="H61" s="28">
        <v>4.5</v>
      </c>
      <c r="I61" s="31">
        <f>H61*G61*$C$61</f>
        <v>103607.36954999999</v>
      </c>
      <c r="J61" s="20">
        <f t="shared" si="1"/>
        <v>549.11905861499997</v>
      </c>
    </row>
    <row r="62" spans="2:11">
      <c r="B62" s="1" t="s">
        <v>57</v>
      </c>
      <c r="C62" s="1"/>
      <c r="D62" s="1" t="s">
        <v>135</v>
      </c>
      <c r="E62" s="1" t="s">
        <v>140</v>
      </c>
      <c r="F62" s="1">
        <v>8.3000000000000001E-3</v>
      </c>
      <c r="G62" s="7">
        <v>3.2199999999999999E-2</v>
      </c>
      <c r="H62" s="28">
        <v>4.5</v>
      </c>
      <c r="I62" s="31">
        <f>H62*G62*$C$61</f>
        <v>26207.048699999999</v>
      </c>
      <c r="J62" s="20">
        <f t="shared" si="1"/>
        <v>217.51850421</v>
      </c>
    </row>
    <row r="63" spans="2:11">
      <c r="B63" s="1" t="s">
        <v>57</v>
      </c>
      <c r="C63" s="1"/>
      <c r="D63" s="1" t="s">
        <v>136</v>
      </c>
      <c r="E63" s="1" t="s">
        <v>12</v>
      </c>
      <c r="F63" s="1">
        <v>1.1299999999999999E-2</v>
      </c>
      <c r="G63" s="7">
        <v>3.8699999999999998E-2</v>
      </c>
      <c r="H63" s="28">
        <v>4.5</v>
      </c>
      <c r="I63" s="31">
        <f>H63*G63*$C$61</f>
        <v>31497.291450000001</v>
      </c>
      <c r="J63" s="20">
        <f t="shared" si="1"/>
        <v>355.91939338499998</v>
      </c>
    </row>
    <row r="64" spans="2:11">
      <c r="B64" s="1" t="s">
        <v>57</v>
      </c>
      <c r="C64" s="1"/>
      <c r="D64" s="1" t="s">
        <v>137</v>
      </c>
      <c r="E64" s="1" t="s">
        <v>12</v>
      </c>
      <c r="F64" s="1">
        <v>1.44E-2</v>
      </c>
      <c r="G64" s="7"/>
      <c r="H64" s="28">
        <v>4.5</v>
      </c>
      <c r="I64" s="31">
        <f>H64*G64*$C$61</f>
        <v>0</v>
      </c>
      <c r="J64" s="20">
        <f t="shared" si="1"/>
        <v>0</v>
      </c>
    </row>
    <row r="65" spans="2:10">
      <c r="B65" s="1" t="s">
        <v>57</v>
      </c>
      <c r="C65" s="1"/>
      <c r="D65" s="1" t="s">
        <v>142</v>
      </c>
      <c r="E65" s="1" t="s">
        <v>146</v>
      </c>
      <c r="F65" s="1">
        <v>0.09</v>
      </c>
      <c r="G65" s="7">
        <v>2.3399999999999997E-2</v>
      </c>
      <c r="H65" s="28">
        <v>4.5</v>
      </c>
      <c r="I65" s="31">
        <f>H65*G65*$C$61</f>
        <v>19044.873899999999</v>
      </c>
      <c r="J65" s="20">
        <f t="shared" si="1"/>
        <v>1714.0386509999998</v>
      </c>
    </row>
    <row r="66" spans="2:10">
      <c r="B66" s="1" t="s">
        <v>55</v>
      </c>
      <c r="C66" s="1">
        <v>372907</v>
      </c>
      <c r="D66" s="1" t="s">
        <v>134</v>
      </c>
      <c r="E66" s="1" t="s">
        <v>139</v>
      </c>
      <c r="F66" s="1">
        <v>5.3E-3</v>
      </c>
      <c r="G66" s="7">
        <v>0.1273</v>
      </c>
      <c r="H66" s="28">
        <v>6.1</v>
      </c>
      <c r="I66" s="31">
        <f>H66*G66*$C$66</f>
        <v>289573.47271</v>
      </c>
      <c r="J66" s="20">
        <f t="shared" si="1"/>
        <v>1534.7394053630001</v>
      </c>
    </row>
    <row r="67" spans="2:10">
      <c r="B67" s="1" t="s">
        <v>55</v>
      </c>
      <c r="C67" s="1"/>
      <c r="D67" s="1" t="s">
        <v>135</v>
      </c>
      <c r="E67" s="1" t="s">
        <v>140</v>
      </c>
      <c r="F67" s="1">
        <v>8.3000000000000001E-3</v>
      </c>
      <c r="G67" s="7">
        <v>3.2199999999999999E-2</v>
      </c>
      <c r="H67" s="28">
        <v>6.1</v>
      </c>
      <c r="I67" s="31">
        <f>H67*G67*$C$66</f>
        <v>73246.392939999991</v>
      </c>
      <c r="J67" s="20">
        <f t="shared" si="1"/>
        <v>607.94506140199996</v>
      </c>
    </row>
    <row r="68" spans="2:10">
      <c r="B68" s="1" t="s">
        <v>55</v>
      </c>
      <c r="C68" s="1"/>
      <c r="D68" s="1" t="s">
        <v>136</v>
      </c>
      <c r="E68" s="1" t="s">
        <v>12</v>
      </c>
      <c r="F68" s="1">
        <v>1.1299999999999999E-2</v>
      </c>
      <c r="G68" s="7">
        <v>3.8699999999999998E-2</v>
      </c>
      <c r="H68" s="28">
        <v>6.1</v>
      </c>
      <c r="I68" s="31">
        <f>H68*G68*$C$66</f>
        <v>88032.15548999999</v>
      </c>
      <c r="J68" s="20">
        <f t="shared" si="1"/>
        <v>994.76335703699988</v>
      </c>
    </row>
    <row r="69" spans="2:10">
      <c r="B69" s="1" t="s">
        <v>55</v>
      </c>
      <c r="C69" s="1"/>
      <c r="D69" s="1" t="s">
        <v>137</v>
      </c>
      <c r="E69" s="1" t="s">
        <v>12</v>
      </c>
      <c r="F69" s="1">
        <v>1.44E-2</v>
      </c>
      <c r="G69" s="7"/>
      <c r="H69" s="28">
        <v>6.1</v>
      </c>
      <c r="I69" s="31">
        <f>H69*G69*$C$66</f>
        <v>0</v>
      </c>
      <c r="J69" s="20">
        <f t="shared" si="1"/>
        <v>0</v>
      </c>
    </row>
    <row r="70" spans="2:10">
      <c r="B70" s="1" t="s">
        <v>55</v>
      </c>
      <c r="C70" s="1"/>
      <c r="D70" s="1" t="s">
        <v>142</v>
      </c>
      <c r="E70" s="1" t="s">
        <v>146</v>
      </c>
      <c r="F70" s="1">
        <v>0.09</v>
      </c>
      <c r="G70" s="7">
        <v>2.3399999999999997E-2</v>
      </c>
      <c r="H70" s="28">
        <v>6.1</v>
      </c>
      <c r="I70" s="31">
        <f>H70*G70*$C$66</f>
        <v>53228.745179999991</v>
      </c>
      <c r="J70" s="20">
        <f t="shared" si="1"/>
        <v>4790.5870661999988</v>
      </c>
    </row>
    <row r="71" spans="2:10">
      <c r="B71" s="1" t="s">
        <v>194</v>
      </c>
      <c r="C71" s="1">
        <v>302701</v>
      </c>
      <c r="D71" s="1" t="s">
        <v>134</v>
      </c>
      <c r="E71" s="1" t="s">
        <v>139</v>
      </c>
      <c r="F71" s="1">
        <v>5.3E-3</v>
      </c>
      <c r="G71" s="7">
        <v>0.1273</v>
      </c>
      <c r="H71" s="28">
        <v>5.6</v>
      </c>
      <c r="I71" s="31">
        <f>H71*G71*$C$71</f>
        <v>215789.48887999999</v>
      </c>
      <c r="J71" s="20">
        <f t="shared" si="1"/>
        <v>1143.684291064</v>
      </c>
    </row>
    <row r="72" spans="2:10">
      <c r="B72" s="1" t="s">
        <v>194</v>
      </c>
      <c r="C72" s="1"/>
      <c r="D72" s="1" t="s">
        <v>135</v>
      </c>
      <c r="E72" s="1" t="s">
        <v>140</v>
      </c>
      <c r="F72" s="1">
        <v>8.3000000000000001E-3</v>
      </c>
      <c r="G72" s="7">
        <v>3.2199999999999999E-2</v>
      </c>
      <c r="H72" s="28">
        <v>5.6</v>
      </c>
      <c r="I72" s="31">
        <f>H72*G72*$C$71</f>
        <v>54583.044319999994</v>
      </c>
      <c r="J72" s="20">
        <f t="shared" si="1"/>
        <v>453.03926785599992</v>
      </c>
    </row>
    <row r="73" spans="2:10">
      <c r="B73" s="1" t="s">
        <v>194</v>
      </c>
      <c r="C73" s="1"/>
      <c r="D73" s="1" t="s">
        <v>136</v>
      </c>
      <c r="E73" s="1" t="s">
        <v>12</v>
      </c>
      <c r="F73" s="1">
        <v>1.1299999999999999E-2</v>
      </c>
      <c r="G73" s="7">
        <v>3.8699999999999998E-2</v>
      </c>
      <c r="H73" s="28">
        <v>5.6</v>
      </c>
      <c r="I73" s="31">
        <f>H73*G73*$C$71</f>
        <v>65601.360719999997</v>
      </c>
      <c r="J73" s="20">
        <f t="shared" si="1"/>
        <v>741.29537613599996</v>
      </c>
    </row>
    <row r="74" spans="2:10">
      <c r="B74" s="1" t="s">
        <v>194</v>
      </c>
      <c r="C74" s="1"/>
      <c r="D74" s="1" t="s">
        <v>137</v>
      </c>
      <c r="E74" s="1" t="s">
        <v>12</v>
      </c>
      <c r="F74" s="1">
        <v>1.44E-2</v>
      </c>
      <c r="G74" s="7"/>
      <c r="H74" s="28">
        <v>5.6</v>
      </c>
      <c r="I74" s="31">
        <f>H74*G74*$C$71</f>
        <v>0</v>
      </c>
      <c r="J74" s="20">
        <f t="shared" si="1"/>
        <v>0</v>
      </c>
    </row>
    <row r="75" spans="2:10">
      <c r="B75" s="1" t="s">
        <v>194</v>
      </c>
      <c r="C75" s="1"/>
      <c r="D75" s="1" t="s">
        <v>142</v>
      </c>
      <c r="E75" s="1" t="s">
        <v>146</v>
      </c>
      <c r="F75" s="1">
        <v>0.09</v>
      </c>
      <c r="G75" s="7">
        <v>2.3399999999999997E-2</v>
      </c>
      <c r="H75" s="28">
        <v>5.6</v>
      </c>
      <c r="I75" s="31">
        <f>H75*G75*$C$71</f>
        <v>39665.939039999997</v>
      </c>
      <c r="J75" s="20">
        <f t="shared" si="1"/>
        <v>3569.9345135999997</v>
      </c>
    </row>
    <row r="76" spans="2:10">
      <c r="B76" s="1"/>
      <c r="C76" s="1"/>
      <c r="D76" s="1"/>
      <c r="E76" s="1"/>
      <c r="F76" s="1"/>
      <c r="G76" s="1"/>
      <c r="H76" s="1"/>
      <c r="I76" s="31"/>
      <c r="J76" s="20">
        <f>SUM(J56:J75)</f>
        <v>20732.965170346</v>
      </c>
    </row>
    <row r="77" spans="2:10">
      <c r="B77" s="12" t="s">
        <v>195</v>
      </c>
    </row>
    <row r="78" spans="2:10">
      <c r="I78" s="35"/>
    </row>
    <row r="79" spans="2:10">
      <c r="I79" s="35"/>
    </row>
    <row r="80" spans="2:10">
      <c r="I80" s="35"/>
    </row>
    <row r="81" spans="2:9">
      <c r="I81" s="35"/>
    </row>
    <row r="82" spans="2:9">
      <c r="I82" s="40"/>
    </row>
    <row r="83" spans="2:9">
      <c r="B83" s="54" t="s">
        <v>282</v>
      </c>
      <c r="C83" s="55" t="s">
        <v>147</v>
      </c>
      <c r="H83" s="54" t="s">
        <v>282</v>
      </c>
      <c r="I83" s="55" t="s">
        <v>147</v>
      </c>
    </row>
    <row r="84" spans="2:9">
      <c r="B84" s="50" t="s">
        <v>181</v>
      </c>
      <c r="C84" s="19">
        <v>39.277715999999998</v>
      </c>
      <c r="H84" s="50" t="s">
        <v>57</v>
      </c>
      <c r="I84" s="58">
        <v>2836.5956072099998</v>
      </c>
    </row>
    <row r="85" spans="2:9">
      <c r="B85" s="50" t="s">
        <v>171</v>
      </c>
      <c r="C85" s="19">
        <v>42.682855999999994</v>
      </c>
      <c r="H85" s="50" t="s">
        <v>56</v>
      </c>
      <c r="I85" s="58">
        <v>4060.3812244779992</v>
      </c>
    </row>
    <row r="86" spans="2:9">
      <c r="B86" s="50" t="s">
        <v>99</v>
      </c>
      <c r="C86" s="19">
        <v>122.04174799999998</v>
      </c>
      <c r="H86" s="50" t="s">
        <v>280</v>
      </c>
      <c r="I86" s="58">
        <v>5907.9534486559996</v>
      </c>
    </row>
    <row r="87" spans="2:9">
      <c r="B87" s="50" t="s">
        <v>281</v>
      </c>
      <c r="C87" s="19">
        <v>160.04158000000001</v>
      </c>
      <c r="H87" s="50" t="s">
        <v>55</v>
      </c>
      <c r="I87" s="58">
        <v>7928.034890001999</v>
      </c>
    </row>
    <row r="88" spans="2:9">
      <c r="B88" s="50" t="s">
        <v>103</v>
      </c>
      <c r="C88" s="19">
        <v>428.32835199999994</v>
      </c>
      <c r="H88" s="56" t="s">
        <v>206</v>
      </c>
      <c r="I88" s="59">
        <f>SUM(I84:I87)</f>
        <v>20732.965170345997</v>
      </c>
    </row>
    <row r="89" spans="2:9">
      <c r="B89" s="50" t="s">
        <v>100</v>
      </c>
      <c r="C89" s="19">
        <v>440.02825999999993</v>
      </c>
    </row>
    <row r="90" spans="2:9">
      <c r="B90" s="50" t="s">
        <v>57</v>
      </c>
      <c r="C90" s="19">
        <v>534.27029199999993</v>
      </c>
    </row>
    <row r="91" spans="2:9">
      <c r="B91" s="50" t="s">
        <v>55</v>
      </c>
      <c r="C91" s="19">
        <v>2314.9901680000003</v>
      </c>
    </row>
    <row r="92" spans="2:9">
      <c r="B92" s="50" t="s">
        <v>56</v>
      </c>
      <c r="C92" s="19">
        <v>2498.5616479999999</v>
      </c>
    </row>
    <row r="93" spans="2:9">
      <c r="B93" s="56" t="s">
        <v>206</v>
      </c>
      <c r="C93" s="57">
        <v>6580.2226199999996</v>
      </c>
    </row>
    <row r="100" spans="2:9">
      <c r="B100" s="45" t="s">
        <v>255</v>
      </c>
      <c r="C100" s="45"/>
      <c r="D100" s="45"/>
      <c r="E100" s="1">
        <f>1.1/1000*E101</f>
        <v>945.9285000000001</v>
      </c>
    </row>
    <row r="101" spans="2:9" ht="29.25" customHeight="1">
      <c r="B101" s="45" t="s">
        <v>469</v>
      </c>
      <c r="C101" s="45"/>
      <c r="D101" s="45"/>
      <c r="E101" s="27">
        <f>C51</f>
        <v>859935</v>
      </c>
    </row>
    <row r="102" spans="2:9">
      <c r="B102" t="s">
        <v>475</v>
      </c>
    </row>
    <row r="104" spans="2:9">
      <c r="B104" s="126" t="s">
        <v>470</v>
      </c>
      <c r="I104" s="71" t="s">
        <v>241</v>
      </c>
    </row>
    <row r="105" spans="2:9">
      <c r="B105" s="123" t="s">
        <v>254</v>
      </c>
      <c r="C105" s="123" t="s">
        <v>471</v>
      </c>
      <c r="D105" s="123" t="s">
        <v>258</v>
      </c>
      <c r="E105" s="123" t="s">
        <v>472</v>
      </c>
      <c r="F105" s="123" t="s">
        <v>147</v>
      </c>
      <c r="I105" s="43" t="s">
        <v>240</v>
      </c>
    </row>
    <row r="106" spans="2:9">
      <c r="B106" s="1" t="s">
        <v>244</v>
      </c>
      <c r="C106" s="1">
        <v>67.5</v>
      </c>
      <c r="D106" s="1">
        <f>C106/100*$E$100</f>
        <v>638.5017375000001</v>
      </c>
      <c r="E106" s="1">
        <v>0.83</v>
      </c>
      <c r="F106" s="22">
        <f>D106*E106</f>
        <v>529.95644212500008</v>
      </c>
    </row>
    <row r="107" spans="2:9">
      <c r="B107" s="1" t="s">
        <v>246</v>
      </c>
      <c r="C107" s="1">
        <v>13.77</v>
      </c>
      <c r="D107" s="1">
        <f t="shared" ref="D107:D115" si="2">C107/100*$E$100</f>
        <v>130.25435444999999</v>
      </c>
      <c r="E107" s="1">
        <v>2.2200000000000002</v>
      </c>
      <c r="F107" s="22">
        <f t="shared" ref="F107:F115" si="3">D107*E107</f>
        <v>289.16466687900004</v>
      </c>
    </row>
    <row r="108" spans="2:9">
      <c r="B108" s="1" t="s">
        <v>247</v>
      </c>
      <c r="C108" s="1">
        <v>9.6199999999999992</v>
      </c>
      <c r="D108" s="1">
        <f t="shared" si="2"/>
        <v>90.998321700000005</v>
      </c>
      <c r="E108" s="1"/>
      <c r="F108" s="22">
        <f t="shared" si="3"/>
        <v>0</v>
      </c>
    </row>
    <row r="109" spans="2:9">
      <c r="B109" s="1" t="s">
        <v>248</v>
      </c>
      <c r="C109" s="1">
        <v>1.2</v>
      </c>
      <c r="D109" s="1">
        <f t="shared" si="2"/>
        <v>11.351142000000001</v>
      </c>
      <c r="E109" s="1"/>
      <c r="F109" s="22">
        <f t="shared" si="3"/>
        <v>0</v>
      </c>
    </row>
    <row r="110" spans="2:9">
      <c r="B110" s="1" t="s">
        <v>249</v>
      </c>
      <c r="C110" s="1">
        <v>0.52</v>
      </c>
      <c r="D110" s="1">
        <f t="shared" si="2"/>
        <v>4.9188282000000001</v>
      </c>
      <c r="E110" s="1">
        <v>1.3320000000000001</v>
      </c>
      <c r="F110" s="22">
        <f t="shared" si="3"/>
        <v>6.5518791624000006</v>
      </c>
    </row>
    <row r="111" spans="2:9">
      <c r="B111" s="1" t="s">
        <v>250</v>
      </c>
      <c r="C111" s="1">
        <v>0.83</v>
      </c>
      <c r="D111" s="1">
        <f t="shared" si="2"/>
        <v>7.8512065500000006</v>
      </c>
      <c r="E111" s="1"/>
      <c r="F111" s="22">
        <f t="shared" si="3"/>
        <v>0</v>
      </c>
    </row>
    <row r="112" spans="2:9">
      <c r="B112" s="1" t="s">
        <v>251</v>
      </c>
      <c r="C112" s="1">
        <v>0.52</v>
      </c>
      <c r="D112" s="1">
        <f t="shared" si="2"/>
        <v>4.9188282000000001</v>
      </c>
      <c r="E112" s="1"/>
      <c r="F112" s="22">
        <f t="shared" si="3"/>
        <v>0</v>
      </c>
    </row>
    <row r="113" spans="2:6">
      <c r="B113" s="1" t="s">
        <v>252</v>
      </c>
      <c r="C113" s="1">
        <v>1.32</v>
      </c>
      <c r="D113" s="1">
        <f t="shared" si="2"/>
        <v>12.486256200000001</v>
      </c>
      <c r="E113" s="1"/>
      <c r="F113" s="22">
        <f t="shared" si="3"/>
        <v>0</v>
      </c>
    </row>
    <row r="114" spans="2:6">
      <c r="B114" s="1" t="s">
        <v>253</v>
      </c>
      <c r="C114" s="1">
        <v>0.05</v>
      </c>
      <c r="D114" s="1">
        <f t="shared" si="2"/>
        <v>0.47296425000000009</v>
      </c>
      <c r="E114" s="1"/>
      <c r="F114" s="22">
        <f t="shared" si="3"/>
        <v>0</v>
      </c>
    </row>
    <row r="115" spans="2:6">
      <c r="B115" s="1" t="s">
        <v>15</v>
      </c>
      <c r="C115" s="1">
        <v>4.66</v>
      </c>
      <c r="D115" s="1">
        <f t="shared" si="2"/>
        <v>44.080268100000005</v>
      </c>
      <c r="E115" s="1"/>
      <c r="F115" s="22">
        <f t="shared" si="3"/>
        <v>0</v>
      </c>
    </row>
    <row r="116" spans="2:6">
      <c r="B116" s="1" t="s">
        <v>206</v>
      </c>
      <c r="C116" s="1"/>
      <c r="D116" s="1"/>
      <c r="E116" s="1"/>
      <c r="F116" s="125">
        <f>SUM(F106:F115)</f>
        <v>825.67298816640016</v>
      </c>
    </row>
    <row r="117" spans="2:6">
      <c r="B117" s="124" t="s">
        <v>474</v>
      </c>
      <c r="F117" s="38"/>
    </row>
    <row r="118" spans="2:6">
      <c r="B118" s="124" t="s">
        <v>473</v>
      </c>
      <c r="F118" s="41"/>
    </row>
  </sheetData>
  <mergeCells count="1">
    <mergeCell ref="B52:H52"/>
  </mergeCells>
  <hyperlinks>
    <hyperlink ref="I105" r:id="rId1" xr:uid="{C7568F43-79CD-4482-A9CD-69CA94F0D03F}"/>
  </hyperlinks>
  <pageMargins left="0.7" right="0.7" top="0.75" bottom="0.75" header="0.3" footer="0.3"/>
  <drawing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:AJ75"/>
  <sheetViews>
    <sheetView showGridLines="0" zoomScaleNormal="100" workbookViewId="0">
      <selection activeCell="F24" sqref="F24"/>
    </sheetView>
  </sheetViews>
  <sheetFormatPr defaultColWidth="9.140625" defaultRowHeight="15"/>
  <cols>
    <col min="2" max="2" width="16.7109375" customWidth="1"/>
    <col min="3" max="3" width="16" customWidth="1"/>
    <col min="4" max="4" width="19.42578125" customWidth="1"/>
    <col min="5" max="5" width="21" customWidth="1"/>
    <col min="6" max="6" width="34.42578125" customWidth="1"/>
    <col min="7" max="7" width="23.85546875" customWidth="1"/>
    <col min="8" max="8" width="16.5703125" customWidth="1"/>
    <col min="9" max="10" width="15.85546875" customWidth="1"/>
    <col min="11" max="11" width="20.140625" customWidth="1"/>
    <col min="12" max="12" width="20.28515625" customWidth="1"/>
    <col min="13" max="13" width="23.140625" customWidth="1"/>
    <col min="14" max="14" width="22.85546875" customWidth="1"/>
    <col min="15" max="15" width="31.42578125" customWidth="1"/>
    <col min="16" max="18" width="15.85546875" customWidth="1"/>
    <col min="19" max="19" width="16.85546875" customWidth="1"/>
    <col min="20" max="20" width="15.85546875" customWidth="1"/>
    <col min="21" max="21" width="14.140625" customWidth="1"/>
    <col min="22" max="22" width="17" customWidth="1"/>
    <col min="23" max="24" width="14.42578125" customWidth="1"/>
    <col min="25" max="28" width="12.85546875" customWidth="1"/>
    <col min="29" max="30" width="15" customWidth="1"/>
    <col min="31" max="31" width="16.85546875" customWidth="1"/>
  </cols>
  <sheetData>
    <row r="1" spans="1:36" s="14" customFormat="1" ht="28.5" customHeight="1">
      <c r="A1" s="14" t="s">
        <v>305</v>
      </c>
    </row>
    <row r="3" spans="1:36">
      <c r="B3" s="71" t="s">
        <v>192</v>
      </c>
    </row>
    <row r="4" spans="1:36">
      <c r="D4" s="147" t="s">
        <v>311</v>
      </c>
      <c r="E4" s="147"/>
      <c r="F4" s="147"/>
      <c r="G4" s="147"/>
      <c r="H4" s="147"/>
      <c r="I4" s="148" t="s">
        <v>310</v>
      </c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</row>
    <row r="5" spans="1:36" s="17" customFormat="1" ht="72.75" customHeight="1">
      <c r="B5" s="95" t="s">
        <v>145</v>
      </c>
      <c r="C5" s="95" t="s">
        <v>182</v>
      </c>
      <c r="D5" s="95" t="s">
        <v>306</v>
      </c>
      <c r="E5" s="95" t="s">
        <v>307</v>
      </c>
      <c r="F5" s="95" t="s">
        <v>410</v>
      </c>
      <c r="G5" s="90" t="s">
        <v>308</v>
      </c>
      <c r="H5" s="95" t="s">
        <v>309</v>
      </c>
      <c r="I5" s="90" t="s">
        <v>312</v>
      </c>
      <c r="J5" s="95" t="s">
        <v>332</v>
      </c>
      <c r="K5" s="95" t="s">
        <v>313</v>
      </c>
      <c r="L5" s="95" t="s">
        <v>401</v>
      </c>
      <c r="M5" s="90" t="s">
        <v>314</v>
      </c>
      <c r="N5" s="95" t="s">
        <v>337</v>
      </c>
      <c r="O5" s="95" t="s">
        <v>317</v>
      </c>
      <c r="P5" s="95" t="s">
        <v>402</v>
      </c>
      <c r="Q5" s="90" t="s">
        <v>316</v>
      </c>
      <c r="R5" s="95" t="s">
        <v>338</v>
      </c>
      <c r="S5" s="95" t="s">
        <v>315</v>
      </c>
      <c r="T5" s="95" t="s">
        <v>403</v>
      </c>
      <c r="U5" s="95" t="s">
        <v>333</v>
      </c>
      <c r="V5" s="95" t="s">
        <v>339</v>
      </c>
      <c r="W5" s="95" t="s">
        <v>334</v>
      </c>
      <c r="X5" s="95" t="s">
        <v>404</v>
      </c>
      <c r="Y5" s="95" t="s">
        <v>335</v>
      </c>
      <c r="Z5" s="95" t="s">
        <v>340</v>
      </c>
      <c r="AA5" s="95" t="s">
        <v>336</v>
      </c>
      <c r="AB5" s="103" t="s">
        <v>405</v>
      </c>
      <c r="AC5" s="95" t="s">
        <v>318</v>
      </c>
      <c r="AD5" s="95" t="s">
        <v>368</v>
      </c>
      <c r="AE5" s="95" t="s">
        <v>319</v>
      </c>
      <c r="AF5" s="95" t="s">
        <v>320</v>
      </c>
      <c r="AG5" s="95" t="s">
        <v>321</v>
      </c>
      <c r="AH5" s="95" t="s">
        <v>367</v>
      </c>
      <c r="AI5" s="95" t="s">
        <v>366</v>
      </c>
      <c r="AJ5" s="95" t="s">
        <v>365</v>
      </c>
    </row>
    <row r="6" spans="1:36">
      <c r="B6" s="1" t="s">
        <v>56</v>
      </c>
      <c r="C6" s="5">
        <v>326524</v>
      </c>
      <c r="D6" s="104">
        <v>5.86</v>
      </c>
      <c r="E6" s="20">
        <f t="shared" ref="E6:E14" si="0">D6*C6/1000</f>
        <v>1913.43064</v>
      </c>
      <c r="F6" s="21">
        <v>649.73753695220455</v>
      </c>
      <c r="G6" s="34">
        <f>F6*C6/1000</f>
        <v>212154.89951578164</v>
      </c>
      <c r="H6" s="20">
        <f>E6+G6</f>
        <v>214068.33015578164</v>
      </c>
      <c r="I6" s="21">
        <f>$D$53</f>
        <v>32.936</v>
      </c>
      <c r="J6" s="21">
        <v>0.1</v>
      </c>
      <c r="K6" s="21">
        <f>I6*J6</f>
        <v>3.2936000000000001</v>
      </c>
      <c r="L6" s="18">
        <f>K6*C6</f>
        <v>1075439.4464</v>
      </c>
      <c r="M6" s="21">
        <f>$D$54</f>
        <v>5.625</v>
      </c>
      <c r="N6" s="21">
        <v>0.7</v>
      </c>
      <c r="O6" s="21">
        <f>M6*N6</f>
        <v>3.9374999999999996</v>
      </c>
      <c r="P6" s="1">
        <f>O6*C6</f>
        <v>1285688.2499999998</v>
      </c>
      <c r="Q6" s="21">
        <f>$D$55</f>
        <v>4.8630000000000004</v>
      </c>
      <c r="R6" s="21">
        <v>0.3</v>
      </c>
      <c r="S6" s="21">
        <f>Q6*R6</f>
        <v>1.4589000000000001</v>
      </c>
      <c r="T6" s="18">
        <f>S6*C6</f>
        <v>476365.86360000004</v>
      </c>
      <c r="U6" s="21">
        <f>$D$56</f>
        <v>0.86899999999999999</v>
      </c>
      <c r="V6" s="21">
        <v>0.14000000000000001</v>
      </c>
      <c r="W6" s="21">
        <f>U6*V6</f>
        <v>0.12166</v>
      </c>
      <c r="X6" s="18">
        <f>W6*C6</f>
        <v>39724.90984</v>
      </c>
      <c r="Y6" s="21">
        <f>$D$57</f>
        <v>0.87849999999999995</v>
      </c>
      <c r="Z6" s="21">
        <v>0.32</v>
      </c>
      <c r="AA6" s="21">
        <f>Y6*Z6</f>
        <v>0.28111999999999998</v>
      </c>
      <c r="AB6" s="18">
        <f>AA6*C6</f>
        <v>91792.426879999999</v>
      </c>
      <c r="AC6" s="21">
        <f t="shared" ref="AC6:AC14" si="1">AA6+W6+S6+O6+K6</f>
        <v>9.0927799999999994</v>
      </c>
      <c r="AD6" s="67">
        <f t="shared" ref="AD6:AD14" si="2">AC6*C6</f>
        <v>2969010.8967199996</v>
      </c>
      <c r="AE6" s="21">
        <f>10000/1000</f>
        <v>10</v>
      </c>
      <c r="AF6" s="21">
        <f>1/5</f>
        <v>0.2</v>
      </c>
      <c r="AG6" s="21">
        <f>AE6*AF6</f>
        <v>2</v>
      </c>
      <c r="AH6" s="1">
        <f t="shared" ref="AH6:AH14" si="3">AG6*C6</f>
        <v>653048</v>
      </c>
      <c r="AI6" s="21">
        <f>AG6+AC6</f>
        <v>11.092779999999999</v>
      </c>
      <c r="AJ6" s="64">
        <f>AH6+AD6</f>
        <v>3622058.8967199996</v>
      </c>
    </row>
    <row r="7" spans="1:36">
      <c r="B7" s="1" t="s">
        <v>57</v>
      </c>
      <c r="C7" s="5">
        <v>69821</v>
      </c>
      <c r="D7" s="104">
        <v>5.86</v>
      </c>
      <c r="E7" s="20">
        <f t="shared" si="0"/>
        <v>409.15105999999997</v>
      </c>
      <c r="F7" s="21">
        <v>665.93388474582525</v>
      </c>
      <c r="G7" s="34">
        <f t="shared" ref="G7:G14" si="4">F7*C7/1000</f>
        <v>46496.169766838269</v>
      </c>
      <c r="H7" s="20">
        <f t="shared" ref="H7:H14" si="5">E7+G7</f>
        <v>46905.320826838266</v>
      </c>
      <c r="I7" s="21">
        <f t="shared" ref="I7:I14" si="6">$D$53</f>
        <v>32.936</v>
      </c>
      <c r="J7" s="21">
        <v>0.1</v>
      </c>
      <c r="K7" s="21">
        <f t="shared" ref="K7:K14" si="7">I7*J7</f>
        <v>3.2936000000000001</v>
      </c>
      <c r="L7" s="18">
        <f t="shared" ref="L7:L14" si="8">K7*C7</f>
        <v>229962.44560000001</v>
      </c>
      <c r="M7" s="21">
        <f t="shared" ref="M7:M14" si="9">$D$54</f>
        <v>5.625</v>
      </c>
      <c r="N7" s="21">
        <v>0.7</v>
      </c>
      <c r="O7" s="21">
        <f t="shared" ref="O7:O14" si="10">M7*N7</f>
        <v>3.9374999999999996</v>
      </c>
      <c r="P7" s="1">
        <f t="shared" ref="P7:P14" si="11">O7*C7</f>
        <v>274920.18749999994</v>
      </c>
      <c r="Q7" s="21">
        <f t="shared" ref="Q7:Q14" si="12">$D$55</f>
        <v>4.8630000000000004</v>
      </c>
      <c r="R7" s="21">
        <v>0.3</v>
      </c>
      <c r="S7" s="21">
        <f t="shared" ref="S7:S14" si="13">Q7*R7</f>
        <v>1.4589000000000001</v>
      </c>
      <c r="T7" s="18">
        <f t="shared" ref="T7:T14" si="14">S7*C7</f>
        <v>101861.8569</v>
      </c>
      <c r="U7" s="21">
        <f t="shared" ref="U7:U14" si="15">$D$56</f>
        <v>0.86899999999999999</v>
      </c>
      <c r="V7" s="21">
        <v>0.14000000000000001</v>
      </c>
      <c r="W7" s="21">
        <f t="shared" ref="W7:W14" si="16">U7*V7</f>
        <v>0.12166</v>
      </c>
      <c r="X7" s="18">
        <f t="shared" ref="X7:X14" si="17">W7*C7</f>
        <v>8494.4228600000006</v>
      </c>
      <c r="Y7" s="21">
        <f t="shared" ref="Y7:Y14" si="18">$D$57</f>
        <v>0.87849999999999995</v>
      </c>
      <c r="Z7" s="21">
        <v>0.32</v>
      </c>
      <c r="AA7" s="21">
        <f t="shared" ref="AA7:AA14" si="19">Y7*Z7</f>
        <v>0.28111999999999998</v>
      </c>
      <c r="AB7" s="18">
        <f t="shared" ref="AB7:AB14" si="20">AA7*C7</f>
        <v>19628.079519999999</v>
      </c>
      <c r="AC7" s="21">
        <f t="shared" si="1"/>
        <v>9.0927799999999994</v>
      </c>
      <c r="AD7" s="67">
        <f t="shared" si="2"/>
        <v>634866.99237999995</v>
      </c>
      <c r="AE7" s="21">
        <f t="shared" ref="AE7:AE14" si="21">10000/1000</f>
        <v>10</v>
      </c>
      <c r="AF7" s="21">
        <f t="shared" ref="AF7:AF14" si="22">1/5</f>
        <v>0.2</v>
      </c>
      <c r="AG7" s="21">
        <f t="shared" ref="AG7:AG14" si="23">AE7*AF7</f>
        <v>2</v>
      </c>
      <c r="AH7" s="1">
        <f t="shared" si="3"/>
        <v>139642</v>
      </c>
      <c r="AI7" s="21">
        <f t="shared" ref="AI7:AI14" si="24">AG7+AC7</f>
        <v>11.092779999999999</v>
      </c>
      <c r="AJ7" s="64">
        <f t="shared" ref="AJ7:AJ14" si="25">AH7+AD7</f>
        <v>774508.99237999995</v>
      </c>
    </row>
    <row r="8" spans="1:36">
      <c r="B8" s="1" t="s">
        <v>55</v>
      </c>
      <c r="C8" s="5">
        <v>302534</v>
      </c>
      <c r="D8" s="104">
        <v>5.86</v>
      </c>
      <c r="E8" s="20">
        <f t="shared" si="0"/>
        <v>1772.84924</v>
      </c>
      <c r="F8" s="21">
        <v>665.79146125673572</v>
      </c>
      <c r="G8" s="34">
        <f t="shared" si="4"/>
        <v>201424.5539398453</v>
      </c>
      <c r="H8" s="20">
        <f t="shared" si="5"/>
        <v>203197.40317984531</v>
      </c>
      <c r="I8" s="21">
        <f t="shared" si="6"/>
        <v>32.936</v>
      </c>
      <c r="J8" s="21">
        <v>0.1</v>
      </c>
      <c r="K8" s="21">
        <f t="shared" si="7"/>
        <v>3.2936000000000001</v>
      </c>
      <c r="L8" s="18">
        <f t="shared" si="8"/>
        <v>996425.98239999998</v>
      </c>
      <c r="M8" s="21">
        <f t="shared" si="9"/>
        <v>5.625</v>
      </c>
      <c r="N8" s="21">
        <v>0.7</v>
      </c>
      <c r="O8" s="21">
        <f t="shared" si="10"/>
        <v>3.9374999999999996</v>
      </c>
      <c r="P8" s="1">
        <f t="shared" si="11"/>
        <v>1191227.6249999998</v>
      </c>
      <c r="Q8" s="21">
        <f t="shared" si="12"/>
        <v>4.8630000000000004</v>
      </c>
      <c r="R8" s="21">
        <v>0.3</v>
      </c>
      <c r="S8" s="21">
        <f t="shared" si="13"/>
        <v>1.4589000000000001</v>
      </c>
      <c r="T8" s="18">
        <f t="shared" si="14"/>
        <v>441366.85260000004</v>
      </c>
      <c r="U8" s="21">
        <f t="shared" si="15"/>
        <v>0.86899999999999999</v>
      </c>
      <c r="V8" s="21">
        <v>0.14000000000000001</v>
      </c>
      <c r="W8" s="21">
        <f t="shared" si="16"/>
        <v>0.12166</v>
      </c>
      <c r="X8" s="18">
        <f t="shared" si="17"/>
        <v>36806.286440000003</v>
      </c>
      <c r="Y8" s="21">
        <f t="shared" si="18"/>
        <v>0.87849999999999995</v>
      </c>
      <c r="Z8" s="21">
        <v>0.32</v>
      </c>
      <c r="AA8" s="21">
        <f t="shared" si="19"/>
        <v>0.28111999999999998</v>
      </c>
      <c r="AB8" s="18">
        <f t="shared" si="20"/>
        <v>85048.358079999991</v>
      </c>
      <c r="AC8" s="21">
        <f t="shared" si="1"/>
        <v>9.0927799999999994</v>
      </c>
      <c r="AD8" s="67">
        <f t="shared" si="2"/>
        <v>2750875.1045200001</v>
      </c>
      <c r="AE8" s="21">
        <f t="shared" si="21"/>
        <v>10</v>
      </c>
      <c r="AF8" s="21">
        <f t="shared" si="22"/>
        <v>0.2</v>
      </c>
      <c r="AG8" s="21">
        <f t="shared" si="23"/>
        <v>2</v>
      </c>
      <c r="AH8" s="1">
        <f t="shared" si="3"/>
        <v>605068</v>
      </c>
      <c r="AI8" s="21">
        <f t="shared" si="24"/>
        <v>11.092779999999999</v>
      </c>
      <c r="AJ8" s="64">
        <f t="shared" si="25"/>
        <v>3355943.1045200001</v>
      </c>
    </row>
    <row r="9" spans="1:36">
      <c r="B9" s="1" t="s">
        <v>100</v>
      </c>
      <c r="C9" s="5">
        <v>57505</v>
      </c>
      <c r="D9" s="104">
        <v>5.86</v>
      </c>
      <c r="E9" s="20">
        <f t="shared" si="0"/>
        <v>336.97930000000002</v>
      </c>
      <c r="F9" s="21">
        <v>325.99565570968173</v>
      </c>
      <c r="G9" s="34">
        <f t="shared" si="4"/>
        <v>18746.380181585249</v>
      </c>
      <c r="H9" s="20">
        <f t="shared" si="5"/>
        <v>19083.359481585248</v>
      </c>
      <c r="I9" s="21">
        <f t="shared" si="6"/>
        <v>32.936</v>
      </c>
      <c r="J9" s="21">
        <v>0.1</v>
      </c>
      <c r="K9" s="21">
        <f t="shared" si="7"/>
        <v>3.2936000000000001</v>
      </c>
      <c r="L9" s="18">
        <f t="shared" si="8"/>
        <v>189398.46799999999</v>
      </c>
      <c r="M9" s="21">
        <f t="shared" si="9"/>
        <v>5.625</v>
      </c>
      <c r="N9" s="21">
        <v>0.7</v>
      </c>
      <c r="O9" s="21">
        <f t="shared" si="10"/>
        <v>3.9374999999999996</v>
      </c>
      <c r="P9" s="1">
        <f t="shared" si="11"/>
        <v>226425.93749999997</v>
      </c>
      <c r="Q9" s="21">
        <f t="shared" si="12"/>
        <v>4.8630000000000004</v>
      </c>
      <c r="R9" s="21">
        <v>0.3</v>
      </c>
      <c r="S9" s="21">
        <f t="shared" si="13"/>
        <v>1.4589000000000001</v>
      </c>
      <c r="T9" s="18">
        <f t="shared" si="14"/>
        <v>83894.044500000004</v>
      </c>
      <c r="U9" s="21">
        <f t="shared" si="15"/>
        <v>0.86899999999999999</v>
      </c>
      <c r="V9" s="21">
        <v>0.14000000000000001</v>
      </c>
      <c r="W9" s="21">
        <f t="shared" si="16"/>
        <v>0.12166</v>
      </c>
      <c r="X9" s="18">
        <f t="shared" si="17"/>
        <v>6996.0583000000006</v>
      </c>
      <c r="Y9" s="21">
        <f t="shared" si="18"/>
        <v>0.87849999999999995</v>
      </c>
      <c r="Z9" s="21">
        <v>0.32</v>
      </c>
      <c r="AA9" s="21">
        <f t="shared" si="19"/>
        <v>0.28111999999999998</v>
      </c>
      <c r="AB9" s="18">
        <f t="shared" si="20"/>
        <v>16165.8056</v>
      </c>
      <c r="AC9" s="21">
        <f t="shared" si="1"/>
        <v>9.0927799999999994</v>
      </c>
      <c r="AD9" s="67">
        <f t="shared" si="2"/>
        <v>522880.31389999995</v>
      </c>
      <c r="AE9" s="21">
        <f t="shared" si="21"/>
        <v>10</v>
      </c>
      <c r="AF9" s="21">
        <f t="shared" si="22"/>
        <v>0.2</v>
      </c>
      <c r="AG9" s="21">
        <f t="shared" si="23"/>
        <v>2</v>
      </c>
      <c r="AH9" s="1">
        <f t="shared" si="3"/>
        <v>115010</v>
      </c>
      <c r="AI9" s="21">
        <f t="shared" si="24"/>
        <v>11.092779999999999</v>
      </c>
      <c r="AJ9" s="64">
        <f t="shared" si="25"/>
        <v>637890.31389999995</v>
      </c>
    </row>
    <row r="10" spans="1:36">
      <c r="B10" s="1" t="s">
        <v>103</v>
      </c>
      <c r="C10" s="5">
        <v>55976</v>
      </c>
      <c r="D10" s="104">
        <v>5.86</v>
      </c>
      <c r="E10" s="20">
        <f t="shared" si="0"/>
        <v>328.01936000000006</v>
      </c>
      <c r="F10" s="21">
        <v>649.73753695220455</v>
      </c>
      <c r="G10" s="34">
        <f t="shared" si="4"/>
        <v>36369.708368436608</v>
      </c>
      <c r="H10" s="20">
        <f t="shared" si="5"/>
        <v>36697.727728436606</v>
      </c>
      <c r="I10" s="21">
        <f t="shared" si="6"/>
        <v>32.936</v>
      </c>
      <c r="J10" s="21">
        <v>0.1</v>
      </c>
      <c r="K10" s="21">
        <f t="shared" si="7"/>
        <v>3.2936000000000001</v>
      </c>
      <c r="L10" s="18">
        <f t="shared" si="8"/>
        <v>184362.55360000001</v>
      </c>
      <c r="M10" s="21">
        <f t="shared" si="9"/>
        <v>5.625</v>
      </c>
      <c r="N10" s="21">
        <v>0.7</v>
      </c>
      <c r="O10" s="21">
        <f t="shared" si="10"/>
        <v>3.9374999999999996</v>
      </c>
      <c r="P10" s="1">
        <f t="shared" si="11"/>
        <v>220405.49999999997</v>
      </c>
      <c r="Q10" s="21">
        <f t="shared" si="12"/>
        <v>4.8630000000000004</v>
      </c>
      <c r="R10" s="21">
        <v>0.3</v>
      </c>
      <c r="S10" s="21">
        <f t="shared" si="13"/>
        <v>1.4589000000000001</v>
      </c>
      <c r="T10" s="18">
        <f t="shared" si="14"/>
        <v>81663.386400000003</v>
      </c>
      <c r="U10" s="21">
        <f t="shared" si="15"/>
        <v>0.86899999999999999</v>
      </c>
      <c r="V10" s="21">
        <v>0.14000000000000001</v>
      </c>
      <c r="W10" s="21">
        <f t="shared" si="16"/>
        <v>0.12166</v>
      </c>
      <c r="X10" s="18">
        <f t="shared" si="17"/>
        <v>6810.0401600000005</v>
      </c>
      <c r="Y10" s="21">
        <f t="shared" si="18"/>
        <v>0.87849999999999995</v>
      </c>
      <c r="Z10" s="21">
        <v>0.32</v>
      </c>
      <c r="AA10" s="21">
        <f t="shared" si="19"/>
        <v>0.28111999999999998</v>
      </c>
      <c r="AB10" s="18">
        <f t="shared" si="20"/>
        <v>15735.973119999999</v>
      </c>
      <c r="AC10" s="21">
        <f t="shared" si="1"/>
        <v>9.0927799999999994</v>
      </c>
      <c r="AD10" s="67">
        <f t="shared" si="2"/>
        <v>508977.45327999996</v>
      </c>
      <c r="AE10" s="21">
        <f t="shared" si="21"/>
        <v>10</v>
      </c>
      <c r="AF10" s="21">
        <f t="shared" si="22"/>
        <v>0.2</v>
      </c>
      <c r="AG10" s="21">
        <f t="shared" si="23"/>
        <v>2</v>
      </c>
      <c r="AH10" s="1">
        <f t="shared" si="3"/>
        <v>111952</v>
      </c>
      <c r="AI10" s="21">
        <f t="shared" si="24"/>
        <v>11.092779999999999</v>
      </c>
      <c r="AJ10" s="64">
        <f t="shared" si="25"/>
        <v>620929.45328000002</v>
      </c>
    </row>
    <row r="11" spans="1:36">
      <c r="B11" s="1" t="s">
        <v>149</v>
      </c>
      <c r="C11" s="5">
        <v>20915</v>
      </c>
      <c r="D11" s="104">
        <v>5.86</v>
      </c>
      <c r="E11" s="20">
        <f t="shared" si="0"/>
        <v>122.56190000000001</v>
      </c>
      <c r="F11" s="106">
        <f>AVERAGE(F6,F7,F8,F9,F10)</f>
        <v>591.43921512333031</v>
      </c>
      <c r="G11" s="34">
        <f t="shared" si="4"/>
        <v>12369.951184304453</v>
      </c>
      <c r="H11" s="20">
        <f t="shared" si="5"/>
        <v>12492.513084304454</v>
      </c>
      <c r="I11" s="21">
        <f t="shared" si="6"/>
        <v>32.936</v>
      </c>
      <c r="J11" s="21">
        <v>0.1</v>
      </c>
      <c r="K11" s="21">
        <f t="shared" si="7"/>
        <v>3.2936000000000001</v>
      </c>
      <c r="L11" s="18">
        <f t="shared" si="8"/>
        <v>68885.644</v>
      </c>
      <c r="M11" s="21">
        <f t="shared" si="9"/>
        <v>5.625</v>
      </c>
      <c r="N11" s="21">
        <v>0.7</v>
      </c>
      <c r="O11" s="21">
        <f t="shared" si="10"/>
        <v>3.9374999999999996</v>
      </c>
      <c r="P11" s="1">
        <f t="shared" si="11"/>
        <v>82352.812499999985</v>
      </c>
      <c r="Q11" s="21">
        <f t="shared" si="12"/>
        <v>4.8630000000000004</v>
      </c>
      <c r="R11" s="21">
        <v>0.3</v>
      </c>
      <c r="S11" s="21">
        <f t="shared" si="13"/>
        <v>1.4589000000000001</v>
      </c>
      <c r="T11" s="18">
        <f t="shared" si="14"/>
        <v>30512.893500000002</v>
      </c>
      <c r="U11" s="21">
        <f t="shared" si="15"/>
        <v>0.86899999999999999</v>
      </c>
      <c r="V11" s="21">
        <v>0.14000000000000001</v>
      </c>
      <c r="W11" s="21">
        <f t="shared" si="16"/>
        <v>0.12166</v>
      </c>
      <c r="X11" s="18">
        <f t="shared" si="17"/>
        <v>2544.5189</v>
      </c>
      <c r="Y11" s="21">
        <f t="shared" si="18"/>
        <v>0.87849999999999995</v>
      </c>
      <c r="Z11" s="21">
        <v>0.32</v>
      </c>
      <c r="AA11" s="21">
        <f t="shared" si="19"/>
        <v>0.28111999999999998</v>
      </c>
      <c r="AB11" s="18">
        <f t="shared" si="20"/>
        <v>5879.6247999999996</v>
      </c>
      <c r="AC11" s="21">
        <f t="shared" si="1"/>
        <v>9.0927799999999994</v>
      </c>
      <c r="AD11" s="67">
        <f t="shared" si="2"/>
        <v>190175.49369999999</v>
      </c>
      <c r="AE11" s="21">
        <f t="shared" si="21"/>
        <v>10</v>
      </c>
      <c r="AF11" s="21">
        <f t="shared" si="22"/>
        <v>0.2</v>
      </c>
      <c r="AG11" s="21">
        <f t="shared" si="23"/>
        <v>2</v>
      </c>
      <c r="AH11" s="1">
        <f t="shared" si="3"/>
        <v>41830</v>
      </c>
      <c r="AI11" s="21">
        <f t="shared" si="24"/>
        <v>11.092779999999999</v>
      </c>
      <c r="AJ11" s="64">
        <f t="shared" si="25"/>
        <v>232005.49369999999</v>
      </c>
    </row>
    <row r="12" spans="1:36">
      <c r="B12" s="1" t="s">
        <v>99</v>
      </c>
      <c r="C12" s="5">
        <v>15949</v>
      </c>
      <c r="D12" s="104">
        <v>5.86</v>
      </c>
      <c r="E12" s="20">
        <f t="shared" si="0"/>
        <v>93.46114</v>
      </c>
      <c r="F12" s="106">
        <f>AVERAGE(F6,F7,F8,F9,F10)</f>
        <v>591.43921512333031</v>
      </c>
      <c r="G12" s="34">
        <f t="shared" si="4"/>
        <v>9432.8640420019947</v>
      </c>
      <c r="H12" s="20">
        <f t="shared" si="5"/>
        <v>9526.3251820019941</v>
      </c>
      <c r="I12" s="21">
        <f t="shared" si="6"/>
        <v>32.936</v>
      </c>
      <c r="J12" s="21">
        <v>0.1</v>
      </c>
      <c r="K12" s="21">
        <f t="shared" si="7"/>
        <v>3.2936000000000001</v>
      </c>
      <c r="L12" s="18">
        <f t="shared" si="8"/>
        <v>52529.626400000001</v>
      </c>
      <c r="M12" s="21">
        <f t="shared" si="9"/>
        <v>5.625</v>
      </c>
      <c r="N12" s="21">
        <v>0.7</v>
      </c>
      <c r="O12" s="21">
        <f t="shared" si="10"/>
        <v>3.9374999999999996</v>
      </c>
      <c r="P12" s="1">
        <f t="shared" si="11"/>
        <v>62799.187499999993</v>
      </c>
      <c r="Q12" s="21">
        <f t="shared" si="12"/>
        <v>4.8630000000000004</v>
      </c>
      <c r="R12" s="21">
        <v>0.3</v>
      </c>
      <c r="S12" s="21">
        <f t="shared" si="13"/>
        <v>1.4589000000000001</v>
      </c>
      <c r="T12" s="18">
        <f t="shared" si="14"/>
        <v>23267.9961</v>
      </c>
      <c r="U12" s="21">
        <f t="shared" si="15"/>
        <v>0.86899999999999999</v>
      </c>
      <c r="V12" s="21">
        <v>0.14000000000000001</v>
      </c>
      <c r="W12" s="21">
        <f t="shared" si="16"/>
        <v>0.12166</v>
      </c>
      <c r="X12" s="18">
        <f t="shared" si="17"/>
        <v>1940.3553400000001</v>
      </c>
      <c r="Y12" s="21">
        <f t="shared" si="18"/>
        <v>0.87849999999999995</v>
      </c>
      <c r="Z12" s="21">
        <v>0.32</v>
      </c>
      <c r="AA12" s="21">
        <f t="shared" si="19"/>
        <v>0.28111999999999998</v>
      </c>
      <c r="AB12" s="18">
        <f t="shared" si="20"/>
        <v>4483.5828799999999</v>
      </c>
      <c r="AC12" s="21">
        <f t="shared" si="1"/>
        <v>9.0927799999999994</v>
      </c>
      <c r="AD12" s="67">
        <f t="shared" si="2"/>
        <v>145020.74821999998</v>
      </c>
      <c r="AE12" s="21">
        <f t="shared" si="21"/>
        <v>10</v>
      </c>
      <c r="AF12" s="21">
        <f t="shared" si="22"/>
        <v>0.2</v>
      </c>
      <c r="AG12" s="21">
        <f t="shared" si="23"/>
        <v>2</v>
      </c>
      <c r="AH12" s="1">
        <f t="shared" si="3"/>
        <v>31898</v>
      </c>
      <c r="AI12" s="21">
        <f t="shared" si="24"/>
        <v>11.092779999999999</v>
      </c>
      <c r="AJ12" s="64">
        <f t="shared" si="25"/>
        <v>176918.74821999998</v>
      </c>
    </row>
    <row r="13" spans="1:36">
      <c r="B13" s="1" t="s">
        <v>181</v>
      </c>
      <c r="C13" s="5">
        <v>5133</v>
      </c>
      <c r="D13" s="104">
        <v>5.86</v>
      </c>
      <c r="E13" s="20">
        <f t="shared" si="0"/>
        <v>30.07938</v>
      </c>
      <c r="F13" s="106">
        <f>AVERAGE(F6,F7,F8,F9,F10)</f>
        <v>591.43921512333031</v>
      </c>
      <c r="G13" s="34">
        <f t="shared" si="4"/>
        <v>3035.8574912280542</v>
      </c>
      <c r="H13" s="20">
        <f t="shared" si="5"/>
        <v>3065.9368712280543</v>
      </c>
      <c r="I13" s="21">
        <f t="shared" si="6"/>
        <v>32.936</v>
      </c>
      <c r="J13" s="21">
        <v>0.1</v>
      </c>
      <c r="K13" s="21">
        <f t="shared" si="7"/>
        <v>3.2936000000000001</v>
      </c>
      <c r="L13" s="18">
        <f t="shared" si="8"/>
        <v>16906.0488</v>
      </c>
      <c r="M13" s="21">
        <f t="shared" si="9"/>
        <v>5.625</v>
      </c>
      <c r="N13" s="21">
        <v>0.7</v>
      </c>
      <c r="O13" s="21">
        <f t="shared" si="10"/>
        <v>3.9374999999999996</v>
      </c>
      <c r="P13" s="1">
        <f t="shared" si="11"/>
        <v>20211.187499999996</v>
      </c>
      <c r="Q13" s="21">
        <f t="shared" si="12"/>
        <v>4.8630000000000004</v>
      </c>
      <c r="R13" s="21">
        <v>0.3</v>
      </c>
      <c r="S13" s="21">
        <f t="shared" si="13"/>
        <v>1.4589000000000001</v>
      </c>
      <c r="T13" s="18">
        <f t="shared" si="14"/>
        <v>7488.5337000000009</v>
      </c>
      <c r="U13" s="21">
        <f t="shared" si="15"/>
        <v>0.86899999999999999</v>
      </c>
      <c r="V13" s="21">
        <v>0.14000000000000001</v>
      </c>
      <c r="W13" s="21">
        <f t="shared" si="16"/>
        <v>0.12166</v>
      </c>
      <c r="X13" s="18">
        <f t="shared" si="17"/>
        <v>624.48077999999998</v>
      </c>
      <c r="Y13" s="21">
        <f t="shared" si="18"/>
        <v>0.87849999999999995</v>
      </c>
      <c r="Z13" s="21">
        <v>0.32</v>
      </c>
      <c r="AA13" s="21">
        <f t="shared" si="19"/>
        <v>0.28111999999999998</v>
      </c>
      <c r="AB13" s="18">
        <f t="shared" si="20"/>
        <v>1442.9889599999999</v>
      </c>
      <c r="AC13" s="21">
        <f t="shared" si="1"/>
        <v>9.0927799999999994</v>
      </c>
      <c r="AD13" s="67">
        <f t="shared" si="2"/>
        <v>46673.239739999997</v>
      </c>
      <c r="AE13" s="21">
        <f t="shared" si="21"/>
        <v>10</v>
      </c>
      <c r="AF13" s="21">
        <f t="shared" si="22"/>
        <v>0.2</v>
      </c>
      <c r="AG13" s="21">
        <f t="shared" si="23"/>
        <v>2</v>
      </c>
      <c r="AH13" s="1">
        <f t="shared" si="3"/>
        <v>10266</v>
      </c>
      <c r="AI13" s="21">
        <f t="shared" si="24"/>
        <v>11.092779999999999</v>
      </c>
      <c r="AJ13" s="64">
        <f t="shared" si="25"/>
        <v>56939.239739999997</v>
      </c>
    </row>
    <row r="14" spans="1:36">
      <c r="B14" s="1" t="s">
        <v>171</v>
      </c>
      <c r="C14" s="5">
        <v>5578</v>
      </c>
      <c r="D14" s="104">
        <v>5.86</v>
      </c>
      <c r="E14" s="20">
        <f t="shared" si="0"/>
        <v>32.687080000000002</v>
      </c>
      <c r="F14" s="106">
        <f>AVERAGE(F6,F7,F8,F9,F10)</f>
        <v>591.43921512333031</v>
      </c>
      <c r="G14" s="34">
        <f t="shared" si="4"/>
        <v>3299.0479419579365</v>
      </c>
      <c r="H14" s="20">
        <f t="shared" si="5"/>
        <v>3331.7350219579366</v>
      </c>
      <c r="I14" s="21">
        <f t="shared" si="6"/>
        <v>32.936</v>
      </c>
      <c r="J14" s="21">
        <v>0.1</v>
      </c>
      <c r="K14" s="21">
        <f t="shared" si="7"/>
        <v>3.2936000000000001</v>
      </c>
      <c r="L14" s="18">
        <f t="shared" si="8"/>
        <v>18371.700799999999</v>
      </c>
      <c r="M14" s="21">
        <f t="shared" si="9"/>
        <v>5.625</v>
      </c>
      <c r="N14" s="21">
        <v>0.7</v>
      </c>
      <c r="O14" s="21">
        <f t="shared" si="10"/>
        <v>3.9374999999999996</v>
      </c>
      <c r="P14" s="1">
        <f t="shared" si="11"/>
        <v>21963.374999999996</v>
      </c>
      <c r="Q14" s="21">
        <f t="shared" si="12"/>
        <v>4.8630000000000004</v>
      </c>
      <c r="R14" s="21">
        <v>0.3</v>
      </c>
      <c r="S14" s="21">
        <f t="shared" si="13"/>
        <v>1.4589000000000001</v>
      </c>
      <c r="T14" s="18">
        <f t="shared" si="14"/>
        <v>8137.7442000000001</v>
      </c>
      <c r="U14" s="21">
        <f t="shared" si="15"/>
        <v>0.86899999999999999</v>
      </c>
      <c r="V14" s="21">
        <v>0.14000000000000001</v>
      </c>
      <c r="W14" s="21">
        <f t="shared" si="16"/>
        <v>0.12166</v>
      </c>
      <c r="X14" s="18">
        <f t="shared" si="17"/>
        <v>678.61948000000007</v>
      </c>
      <c r="Y14" s="21">
        <f t="shared" si="18"/>
        <v>0.87849999999999995</v>
      </c>
      <c r="Z14" s="21">
        <v>0.32</v>
      </c>
      <c r="AA14" s="21">
        <f t="shared" si="19"/>
        <v>0.28111999999999998</v>
      </c>
      <c r="AB14" s="18">
        <f t="shared" si="20"/>
        <v>1568.08736</v>
      </c>
      <c r="AC14" s="21">
        <f t="shared" si="1"/>
        <v>9.0927799999999994</v>
      </c>
      <c r="AD14" s="67">
        <f t="shared" si="2"/>
        <v>50719.526839999999</v>
      </c>
      <c r="AE14" s="21">
        <f t="shared" si="21"/>
        <v>10</v>
      </c>
      <c r="AF14" s="21">
        <f t="shared" si="22"/>
        <v>0.2</v>
      </c>
      <c r="AG14" s="21">
        <f t="shared" si="23"/>
        <v>2</v>
      </c>
      <c r="AH14" s="1">
        <f t="shared" si="3"/>
        <v>11156</v>
      </c>
      <c r="AI14" s="21">
        <f t="shared" si="24"/>
        <v>11.092779999999999</v>
      </c>
      <c r="AJ14" s="64">
        <f t="shared" si="25"/>
        <v>61875.526839999999</v>
      </c>
    </row>
    <row r="15" spans="1:36" ht="15.75" customHeight="1">
      <c r="B15" s="68" t="s">
        <v>206</v>
      </c>
      <c r="C15" s="69">
        <f>SUM(C6:C14)</f>
        <v>859935</v>
      </c>
      <c r="D15" s="105">
        <v>5.86</v>
      </c>
      <c r="E15" s="69">
        <f t="shared" ref="E15:K15" si="26">SUM(E6:E14)</f>
        <v>5039.2191000000003</v>
      </c>
      <c r="F15" s="69">
        <f>AVERAGE(F6,F7,F8,F9,F10)</f>
        <v>591.43921512333031</v>
      </c>
      <c r="G15" s="69">
        <f t="shared" si="26"/>
        <v>543329.43243197957</v>
      </c>
      <c r="H15" s="69">
        <f t="shared" si="26"/>
        <v>548368.65153197944</v>
      </c>
      <c r="I15" s="69">
        <f t="shared" si="26"/>
        <v>296.42399999999998</v>
      </c>
      <c r="J15" s="69">
        <f t="shared" si="26"/>
        <v>0.89999999999999991</v>
      </c>
      <c r="K15" s="69">
        <f t="shared" si="26"/>
        <v>29.642400000000006</v>
      </c>
      <c r="L15" s="20">
        <f t="shared" ref="L15:AJ15" si="27">SUM(L6:L14)</f>
        <v>2832281.9160000002</v>
      </c>
      <c r="M15" s="69">
        <f t="shared" si="27"/>
        <v>50.625</v>
      </c>
      <c r="N15" s="69">
        <f t="shared" si="27"/>
        <v>6.3000000000000007</v>
      </c>
      <c r="O15" s="69">
        <f t="shared" si="27"/>
        <v>35.437499999999993</v>
      </c>
      <c r="P15" s="69">
        <f t="shared" si="27"/>
        <v>3385994.0624999995</v>
      </c>
      <c r="Q15" s="69">
        <f t="shared" si="27"/>
        <v>43.767000000000003</v>
      </c>
      <c r="R15" s="69">
        <f t="shared" si="27"/>
        <v>2.6999999999999997</v>
      </c>
      <c r="S15" s="69">
        <f t="shared" si="27"/>
        <v>13.130100000000001</v>
      </c>
      <c r="T15" s="20">
        <f t="shared" si="27"/>
        <v>1254559.1715000004</v>
      </c>
      <c r="U15" s="69">
        <f t="shared" si="27"/>
        <v>7.8209999999999988</v>
      </c>
      <c r="V15" s="69">
        <f t="shared" si="27"/>
        <v>1.2600000000000002</v>
      </c>
      <c r="W15" s="69">
        <f t="shared" si="27"/>
        <v>1.09494</v>
      </c>
      <c r="X15" s="20">
        <f t="shared" si="27"/>
        <v>104619.69209999999</v>
      </c>
      <c r="Y15" s="69">
        <f t="shared" si="27"/>
        <v>7.9064999999999994</v>
      </c>
      <c r="Z15" s="69">
        <f t="shared" si="27"/>
        <v>2.88</v>
      </c>
      <c r="AA15" s="69">
        <f t="shared" si="27"/>
        <v>2.5300799999999999</v>
      </c>
      <c r="AB15" s="20">
        <f t="shared" si="27"/>
        <v>241744.92719999998</v>
      </c>
      <c r="AC15" s="69">
        <f t="shared" si="27"/>
        <v>81.83502</v>
      </c>
      <c r="AD15" s="69">
        <f t="shared" si="27"/>
        <v>7819199.7692999989</v>
      </c>
      <c r="AE15" s="69">
        <f t="shared" si="27"/>
        <v>90</v>
      </c>
      <c r="AF15" s="69">
        <f t="shared" si="27"/>
        <v>1.7999999999999998</v>
      </c>
      <c r="AG15" s="69">
        <f t="shared" si="27"/>
        <v>18</v>
      </c>
      <c r="AH15" s="69">
        <f t="shared" si="27"/>
        <v>1719870</v>
      </c>
      <c r="AI15" s="69">
        <f t="shared" si="27"/>
        <v>99.835020000000014</v>
      </c>
      <c r="AJ15" s="69">
        <f t="shared" si="27"/>
        <v>9539069.769299997</v>
      </c>
    </row>
    <row r="16" spans="1:36" ht="15.75" customHeight="1">
      <c r="B16" s="146" t="s">
        <v>196</v>
      </c>
      <c r="C16" s="146"/>
      <c r="D16" s="146"/>
      <c r="F16" s="25"/>
    </row>
    <row r="17" spans="2:17">
      <c r="F17" s="25"/>
    </row>
    <row r="18" spans="2:17">
      <c r="B18" s="71" t="s">
        <v>193</v>
      </c>
      <c r="N18" s="71" t="s">
        <v>458</v>
      </c>
    </row>
    <row r="19" spans="2:17" ht="45">
      <c r="B19" s="95" t="s">
        <v>145</v>
      </c>
      <c r="C19" s="95" t="s">
        <v>197</v>
      </c>
      <c r="D19" s="95" t="s">
        <v>143</v>
      </c>
      <c r="E19" s="95" t="s">
        <v>138</v>
      </c>
      <c r="F19" s="95" t="s">
        <v>306</v>
      </c>
      <c r="G19" s="95" t="s">
        <v>410</v>
      </c>
      <c r="H19" s="95" t="s">
        <v>141</v>
      </c>
      <c r="I19" s="95" t="s">
        <v>144</v>
      </c>
      <c r="J19" s="95" t="s">
        <v>198</v>
      </c>
      <c r="K19" s="95" t="s">
        <v>422</v>
      </c>
      <c r="L19" s="90" t="s">
        <v>308</v>
      </c>
      <c r="N19" s="90" t="s">
        <v>423</v>
      </c>
      <c r="O19" s="90" t="s">
        <v>424</v>
      </c>
      <c r="P19" s="90" t="s">
        <v>425</v>
      </c>
      <c r="Q19" s="90" t="s">
        <v>371</v>
      </c>
    </row>
    <row r="20" spans="2:17">
      <c r="B20" s="1" t="s">
        <v>56</v>
      </c>
      <c r="C20" s="5">
        <v>314869</v>
      </c>
      <c r="D20" s="1" t="s">
        <v>134</v>
      </c>
      <c r="E20" s="1" t="s">
        <v>139</v>
      </c>
      <c r="F20" s="1">
        <v>5.86</v>
      </c>
      <c r="G20" s="21">
        <v>649.73753695220455</v>
      </c>
      <c r="H20" s="7">
        <v>0.1273</v>
      </c>
      <c r="I20" s="28">
        <v>3.7</v>
      </c>
      <c r="J20" s="31">
        <f>I20*H20*$C$20</f>
        <v>148306.44769</v>
      </c>
      <c r="K20" s="20">
        <f>J20*F20</f>
        <v>869075.78346340009</v>
      </c>
      <c r="L20" s="22">
        <f>J20*G20</f>
        <v>96360266.036231562</v>
      </c>
      <c r="N20" s="1" t="s">
        <v>56</v>
      </c>
      <c r="O20" s="20">
        <f>SUM(K20:K24)</f>
        <v>1512860.9082128</v>
      </c>
      <c r="P20" s="20">
        <f>SUM(L20:L24)</f>
        <v>167741044.41185319</v>
      </c>
      <c r="Q20" s="20">
        <f>SUM(O20:P20)</f>
        <v>169253905.320066</v>
      </c>
    </row>
    <row r="21" spans="2:17">
      <c r="B21" s="1" t="s">
        <v>56</v>
      </c>
      <c r="C21" s="5"/>
      <c r="D21" s="1" t="s">
        <v>135</v>
      </c>
      <c r="E21" s="1" t="s">
        <v>140</v>
      </c>
      <c r="F21" s="1">
        <v>5.86</v>
      </c>
      <c r="G21" s="21">
        <v>649.73753695220455</v>
      </c>
      <c r="H21" s="7">
        <v>3.2199999999999999E-2</v>
      </c>
      <c r="I21" s="28">
        <v>3.7</v>
      </c>
      <c r="J21" s="31">
        <f t="shared" ref="J21:J24" si="28">I21*H21*$C$20</f>
        <v>37513.492660000004</v>
      </c>
      <c r="K21" s="20">
        <f t="shared" ref="K21:K39" si="29">J21*F21</f>
        <v>219829.06698760003</v>
      </c>
      <c r="L21" s="22">
        <f t="shared" ref="L21:L39" si="30">J21*G21</f>
        <v>24373924.323383007</v>
      </c>
      <c r="N21" s="1" t="s">
        <v>57</v>
      </c>
      <c r="O21" s="20">
        <f>SUM(K25:K29)</f>
        <v>1056889.579896</v>
      </c>
      <c r="P21" s="20">
        <f>SUM(L25:L29)</f>
        <v>120105560.35623318</v>
      </c>
      <c r="Q21" s="20">
        <f t="shared" ref="Q21:Q24" si="31">SUM(O21:P21)</f>
        <v>121162449.93612918</v>
      </c>
    </row>
    <row r="22" spans="2:17">
      <c r="B22" s="1" t="s">
        <v>56</v>
      </c>
      <c r="C22" s="5"/>
      <c r="D22" s="1" t="s">
        <v>136</v>
      </c>
      <c r="E22" s="1" t="s">
        <v>12</v>
      </c>
      <c r="F22" s="1">
        <v>5.86</v>
      </c>
      <c r="G22" s="21">
        <v>649.73753695220455</v>
      </c>
      <c r="H22" s="7">
        <v>3.8699999999999998E-2</v>
      </c>
      <c r="I22" s="28">
        <v>3.7</v>
      </c>
      <c r="J22" s="31">
        <f t="shared" si="28"/>
        <v>45086.092110000005</v>
      </c>
      <c r="K22" s="20">
        <f t="shared" si="29"/>
        <v>264204.49976460007</v>
      </c>
      <c r="L22" s="22">
        <f t="shared" si="30"/>
        <v>29294126.438351627</v>
      </c>
      <c r="N22" s="1" t="s">
        <v>55</v>
      </c>
      <c r="O22" s="20">
        <f>SUM(K30:K34)</f>
        <v>2953913.2906352002</v>
      </c>
      <c r="P22" s="20">
        <f>SUM(L30:L34)</f>
        <v>335612669.99960792</v>
      </c>
      <c r="Q22" s="20">
        <f t="shared" si="31"/>
        <v>338566583.29024315</v>
      </c>
    </row>
    <row r="23" spans="2:17">
      <c r="B23" s="1" t="s">
        <v>56</v>
      </c>
      <c r="C23" s="5"/>
      <c r="D23" s="1" t="s">
        <v>137</v>
      </c>
      <c r="E23" s="1" t="s">
        <v>12</v>
      </c>
      <c r="F23" s="1">
        <v>5.86</v>
      </c>
      <c r="G23" s="21">
        <v>649.73753695220455</v>
      </c>
      <c r="H23" s="7"/>
      <c r="I23" s="28">
        <v>3.7</v>
      </c>
      <c r="J23" s="31">
        <f t="shared" si="28"/>
        <v>0</v>
      </c>
      <c r="K23" s="20">
        <f t="shared" si="29"/>
        <v>0</v>
      </c>
      <c r="L23" s="22">
        <f t="shared" si="30"/>
        <v>0</v>
      </c>
      <c r="N23" s="1" t="s">
        <v>15</v>
      </c>
      <c r="O23" s="20">
        <f>SUM(K35:K39)</f>
        <v>2201249.4211455998</v>
      </c>
      <c r="P23" s="20">
        <f>SUM(L35:L39)</f>
        <v>222168127.97492132</v>
      </c>
      <c r="Q23" s="20">
        <f t="shared" si="31"/>
        <v>224369377.3960669</v>
      </c>
    </row>
    <row r="24" spans="2:17">
      <c r="B24" s="1" t="s">
        <v>56</v>
      </c>
      <c r="C24" s="5"/>
      <c r="D24" s="1" t="s">
        <v>142</v>
      </c>
      <c r="E24" s="1" t="s">
        <v>146</v>
      </c>
      <c r="F24" s="1">
        <v>5.86</v>
      </c>
      <c r="G24" s="21">
        <v>649.73753695220455</v>
      </c>
      <c r="H24" s="7">
        <v>2.3399999999999997E-2</v>
      </c>
      <c r="I24" s="28">
        <v>3.7</v>
      </c>
      <c r="J24" s="31">
        <f t="shared" si="28"/>
        <v>27261.358019999996</v>
      </c>
      <c r="K24" s="20">
        <f t="shared" si="29"/>
        <v>159751.5579972</v>
      </c>
      <c r="L24" s="22">
        <f t="shared" si="30"/>
        <v>17712727.613887027</v>
      </c>
      <c r="N24" s="1" t="s">
        <v>206</v>
      </c>
      <c r="O24" s="20">
        <f>SUM(O20:O23)</f>
        <v>7724913.1998896003</v>
      </c>
      <c r="P24" s="20">
        <f>SUM(P20:P23)</f>
        <v>845627402.74261558</v>
      </c>
      <c r="Q24" s="20">
        <f t="shared" si="31"/>
        <v>853352315.94250512</v>
      </c>
    </row>
    <row r="25" spans="2:17">
      <c r="B25" s="1" t="s">
        <v>57</v>
      </c>
      <c r="C25" s="1">
        <v>180863</v>
      </c>
      <c r="D25" s="1" t="s">
        <v>134</v>
      </c>
      <c r="E25" s="1" t="s">
        <v>139</v>
      </c>
      <c r="F25" s="1">
        <v>5.86</v>
      </c>
      <c r="G25" s="21">
        <v>665.93388474582525</v>
      </c>
      <c r="H25" s="7">
        <v>0.1273</v>
      </c>
      <c r="I25" s="28">
        <v>4.5</v>
      </c>
      <c r="J25" s="31">
        <f>I25*H25*$C$25</f>
        <v>103607.36954999999</v>
      </c>
      <c r="K25" s="20">
        <f t="shared" si="29"/>
        <v>607139.18556299992</v>
      </c>
      <c r="L25" s="22">
        <f t="shared" si="30"/>
        <v>68995658.09272781</v>
      </c>
    </row>
    <row r="26" spans="2:17">
      <c r="B26" s="1" t="s">
        <v>57</v>
      </c>
      <c r="C26" s="1"/>
      <c r="D26" s="1" t="s">
        <v>135</v>
      </c>
      <c r="E26" s="1" t="s">
        <v>140</v>
      </c>
      <c r="F26" s="1">
        <v>5.86</v>
      </c>
      <c r="G26" s="21">
        <v>665.93388474582525</v>
      </c>
      <c r="H26" s="7">
        <v>3.2199999999999999E-2</v>
      </c>
      <c r="I26" s="28">
        <v>4.5</v>
      </c>
      <c r="J26" s="31">
        <f t="shared" ref="J26:J29" si="32">I26*H26*$C$25</f>
        <v>26207.048699999999</v>
      </c>
      <c r="K26" s="20">
        <f t="shared" si="29"/>
        <v>153573.30538199999</v>
      </c>
      <c r="L26" s="22">
        <f t="shared" si="30"/>
        <v>17452161.74851403</v>
      </c>
      <c r="N26" t="s">
        <v>459</v>
      </c>
    </row>
    <row r="27" spans="2:17">
      <c r="B27" s="1" t="s">
        <v>57</v>
      </c>
      <c r="C27" s="1"/>
      <c r="D27" s="1" t="s">
        <v>136</v>
      </c>
      <c r="E27" s="1" t="s">
        <v>12</v>
      </c>
      <c r="F27" s="1">
        <v>5.86</v>
      </c>
      <c r="G27" s="21">
        <v>665.93388474582525</v>
      </c>
      <c r="H27" s="7">
        <v>3.8699999999999998E-2</v>
      </c>
      <c r="I27" s="28">
        <v>4.5</v>
      </c>
      <c r="J27" s="31">
        <f t="shared" si="32"/>
        <v>31497.291450000001</v>
      </c>
      <c r="K27" s="20">
        <f t="shared" si="29"/>
        <v>184574.12789700003</v>
      </c>
      <c r="L27" s="22">
        <f t="shared" si="30"/>
        <v>20975113.654269967</v>
      </c>
    </row>
    <row r="28" spans="2:17">
      <c r="B28" s="1" t="s">
        <v>57</v>
      </c>
      <c r="C28" s="1"/>
      <c r="D28" s="1" t="s">
        <v>137</v>
      </c>
      <c r="E28" s="1" t="s">
        <v>12</v>
      </c>
      <c r="F28" s="1">
        <v>5.86</v>
      </c>
      <c r="G28" s="21">
        <v>665.93388474582525</v>
      </c>
      <c r="H28" s="7"/>
      <c r="I28" s="28">
        <v>4.5</v>
      </c>
      <c r="J28" s="31">
        <f t="shared" si="32"/>
        <v>0</v>
      </c>
      <c r="K28" s="20">
        <f t="shared" si="29"/>
        <v>0</v>
      </c>
      <c r="L28" s="22">
        <f t="shared" si="30"/>
        <v>0</v>
      </c>
    </row>
    <row r="29" spans="2:17">
      <c r="B29" s="1" t="s">
        <v>57</v>
      </c>
      <c r="C29" s="1"/>
      <c r="D29" s="1" t="s">
        <v>142</v>
      </c>
      <c r="E29" s="1" t="s">
        <v>146</v>
      </c>
      <c r="F29" s="1">
        <v>5.86</v>
      </c>
      <c r="G29" s="21">
        <v>665.93388474582525</v>
      </c>
      <c r="H29" s="7">
        <v>2.3399999999999997E-2</v>
      </c>
      <c r="I29" s="28">
        <v>4.5</v>
      </c>
      <c r="J29" s="31">
        <f t="shared" si="32"/>
        <v>19044.873899999999</v>
      </c>
      <c r="K29" s="20">
        <f t="shared" si="29"/>
        <v>111602.961054</v>
      </c>
      <c r="L29" s="22">
        <f t="shared" si="30"/>
        <v>12682626.860721374</v>
      </c>
    </row>
    <row r="30" spans="2:17">
      <c r="B30" s="1" t="s">
        <v>55</v>
      </c>
      <c r="C30" s="1">
        <v>372907</v>
      </c>
      <c r="D30" s="1" t="s">
        <v>134</v>
      </c>
      <c r="E30" s="1" t="s">
        <v>139</v>
      </c>
      <c r="F30" s="1">
        <v>5.86</v>
      </c>
      <c r="G30" s="21">
        <v>665.79146125673572</v>
      </c>
      <c r="H30" s="7">
        <v>0.1273</v>
      </c>
      <c r="I30" s="28">
        <v>6.1</v>
      </c>
      <c r="J30" s="31">
        <f>I30*H30*$C$30</f>
        <v>289573.47271</v>
      </c>
      <c r="K30" s="20">
        <f t="shared" si="29"/>
        <v>1696900.5500806002</v>
      </c>
      <c r="L30" s="22">
        <f t="shared" si="30"/>
        <v>192795545.53677839</v>
      </c>
    </row>
    <row r="31" spans="2:17">
      <c r="B31" s="1" t="s">
        <v>55</v>
      </c>
      <c r="C31" s="1"/>
      <c r="D31" s="1" t="s">
        <v>135</v>
      </c>
      <c r="E31" s="1" t="s">
        <v>140</v>
      </c>
      <c r="F31" s="1">
        <v>5.86</v>
      </c>
      <c r="G31" s="21">
        <v>665.79146125673572</v>
      </c>
      <c r="H31" s="7">
        <v>3.2199999999999999E-2</v>
      </c>
      <c r="I31" s="28">
        <v>6.1</v>
      </c>
      <c r="J31" s="31">
        <f t="shared" ref="J31:J34" si="33">I31*H31*$C$30</f>
        <v>73246.392939999991</v>
      </c>
      <c r="K31" s="20">
        <f t="shared" si="29"/>
        <v>429223.86262839998</v>
      </c>
      <c r="L31" s="22">
        <f t="shared" si="30"/>
        <v>48766822.987307645</v>
      </c>
    </row>
    <row r="32" spans="2:17">
      <c r="B32" s="1" t="s">
        <v>55</v>
      </c>
      <c r="C32" s="1"/>
      <c r="D32" s="1" t="s">
        <v>136</v>
      </c>
      <c r="E32" s="1" t="s">
        <v>12</v>
      </c>
      <c r="F32" s="1">
        <v>5.86</v>
      </c>
      <c r="G32" s="21">
        <v>665.79146125673572</v>
      </c>
      <c r="H32" s="7">
        <v>3.8699999999999998E-2</v>
      </c>
      <c r="I32" s="28">
        <v>6.1</v>
      </c>
      <c r="J32" s="31">
        <f t="shared" si="33"/>
        <v>88032.15548999999</v>
      </c>
      <c r="K32" s="20">
        <f t="shared" si="29"/>
        <v>515868.43117139995</v>
      </c>
      <c r="L32" s="22">
        <f t="shared" si="30"/>
        <v>58611057.441267259</v>
      </c>
    </row>
    <row r="33" spans="2:12">
      <c r="B33" s="1" t="s">
        <v>55</v>
      </c>
      <c r="C33" s="1"/>
      <c r="D33" s="1" t="s">
        <v>137</v>
      </c>
      <c r="E33" s="1" t="s">
        <v>12</v>
      </c>
      <c r="F33" s="1">
        <v>5.86</v>
      </c>
      <c r="G33" s="21">
        <v>665.79146125673572</v>
      </c>
      <c r="H33" s="7"/>
      <c r="I33" s="28">
        <v>6.1</v>
      </c>
      <c r="J33" s="31">
        <f t="shared" si="33"/>
        <v>0</v>
      </c>
      <c r="K33" s="20">
        <f t="shared" si="29"/>
        <v>0</v>
      </c>
      <c r="L33" s="22">
        <f t="shared" si="30"/>
        <v>0</v>
      </c>
    </row>
    <row r="34" spans="2:12">
      <c r="B34" s="1" t="s">
        <v>55</v>
      </c>
      <c r="C34" s="1"/>
      <c r="D34" s="1" t="s">
        <v>142</v>
      </c>
      <c r="E34" s="1" t="s">
        <v>146</v>
      </c>
      <c r="F34" s="1">
        <v>5.86</v>
      </c>
      <c r="G34" s="21">
        <v>665.79146125673572</v>
      </c>
      <c r="H34" s="7">
        <v>2.3399999999999997E-2</v>
      </c>
      <c r="I34" s="28">
        <v>6.1</v>
      </c>
      <c r="J34" s="31">
        <f t="shared" si="33"/>
        <v>53228.745179999991</v>
      </c>
      <c r="K34" s="20">
        <f t="shared" si="29"/>
        <v>311920.44675479998</v>
      </c>
      <c r="L34" s="22">
        <f t="shared" si="30"/>
        <v>35439244.034254625</v>
      </c>
    </row>
    <row r="35" spans="2:12">
      <c r="B35" s="1" t="s">
        <v>194</v>
      </c>
      <c r="C35" s="1">
        <v>302701</v>
      </c>
      <c r="D35" s="1" t="s">
        <v>134</v>
      </c>
      <c r="E35" s="1" t="s">
        <v>139</v>
      </c>
      <c r="F35" s="1">
        <v>5.86</v>
      </c>
      <c r="G35" s="22">
        <v>591.43921512333031</v>
      </c>
      <c r="H35" s="7">
        <v>0.1273</v>
      </c>
      <c r="I35" s="28">
        <v>5.6</v>
      </c>
      <c r="J35" s="31">
        <f>I35*H35*$C$35</f>
        <v>215789.48887999999</v>
      </c>
      <c r="K35" s="20">
        <f t="shared" si="29"/>
        <v>1264526.4048367999</v>
      </c>
      <c r="L35" s="22">
        <f t="shared" si="30"/>
        <v>127626365.93505181</v>
      </c>
    </row>
    <row r="36" spans="2:12">
      <c r="B36" s="1" t="s">
        <v>194</v>
      </c>
      <c r="C36" s="1"/>
      <c r="D36" s="1" t="s">
        <v>135</v>
      </c>
      <c r="E36" s="1" t="s">
        <v>140</v>
      </c>
      <c r="F36" s="1">
        <v>5.86</v>
      </c>
      <c r="G36" s="22">
        <v>591.43921512333031</v>
      </c>
      <c r="H36" s="7">
        <v>3.2199999999999999E-2</v>
      </c>
      <c r="I36" s="28">
        <v>5.6</v>
      </c>
      <c r="J36" s="31">
        <f t="shared" ref="J36:J39" si="34">I36*H36*$C$35</f>
        <v>54583.044319999994</v>
      </c>
      <c r="K36" s="20">
        <f t="shared" si="29"/>
        <v>319856.6397152</v>
      </c>
      <c r="L36" s="22">
        <f t="shared" si="30"/>
        <v>32282552.89166275</v>
      </c>
    </row>
    <row r="37" spans="2:12">
      <c r="B37" s="1" t="s">
        <v>194</v>
      </c>
      <c r="C37" s="1"/>
      <c r="D37" s="1" t="s">
        <v>136</v>
      </c>
      <c r="E37" s="1" t="s">
        <v>12</v>
      </c>
      <c r="F37" s="1">
        <v>5.86</v>
      </c>
      <c r="G37" s="22">
        <v>591.43921512333031</v>
      </c>
      <c r="H37" s="7">
        <v>3.8699999999999998E-2</v>
      </c>
      <c r="I37" s="28">
        <v>5.6</v>
      </c>
      <c r="J37" s="31">
        <f t="shared" si="34"/>
        <v>65601.360719999997</v>
      </c>
      <c r="K37" s="20">
        <f t="shared" si="29"/>
        <v>384423.97381920001</v>
      </c>
      <c r="L37" s="22">
        <f t="shared" si="30"/>
        <v>38799217.295259267</v>
      </c>
    </row>
    <row r="38" spans="2:12">
      <c r="B38" s="1" t="s">
        <v>194</v>
      </c>
      <c r="C38" s="1"/>
      <c r="D38" s="1" t="s">
        <v>137</v>
      </c>
      <c r="E38" s="1" t="s">
        <v>12</v>
      </c>
      <c r="F38" s="1">
        <v>5.86</v>
      </c>
      <c r="G38" s="22">
        <v>591.43921512333031</v>
      </c>
      <c r="H38" s="7"/>
      <c r="I38" s="28">
        <v>5.6</v>
      </c>
      <c r="J38" s="31">
        <f t="shared" si="34"/>
        <v>0</v>
      </c>
      <c r="K38" s="20">
        <f t="shared" si="29"/>
        <v>0</v>
      </c>
      <c r="L38" s="22">
        <f t="shared" si="30"/>
        <v>0</v>
      </c>
    </row>
    <row r="39" spans="2:12">
      <c r="B39" s="1" t="s">
        <v>194</v>
      </c>
      <c r="C39" s="1"/>
      <c r="D39" s="1" t="s">
        <v>142</v>
      </c>
      <c r="E39" s="1" t="s">
        <v>146</v>
      </c>
      <c r="F39" s="1">
        <v>5.86</v>
      </c>
      <c r="G39" s="22">
        <v>591.43921512333031</v>
      </c>
      <c r="H39" s="7">
        <v>2.3399999999999997E-2</v>
      </c>
      <c r="I39" s="28">
        <v>5.6</v>
      </c>
      <c r="J39" s="31">
        <f t="shared" si="34"/>
        <v>39665.939039999997</v>
      </c>
      <c r="K39" s="20">
        <f t="shared" si="29"/>
        <v>232442.40277439999</v>
      </c>
      <c r="L39" s="22">
        <f t="shared" si="30"/>
        <v>23459991.852947466</v>
      </c>
    </row>
    <row r="40" spans="2:12">
      <c r="B40" s="1"/>
      <c r="C40" s="1"/>
      <c r="D40" s="1"/>
      <c r="E40" s="1"/>
      <c r="F40" s="1">
        <v>5.86</v>
      </c>
      <c r="G40" s="1"/>
      <c r="H40" s="1"/>
      <c r="I40" s="1"/>
      <c r="J40" s="31"/>
      <c r="K40" s="20">
        <f>SUM(K20:K39)</f>
        <v>7724913.1998896003</v>
      </c>
      <c r="L40" s="21"/>
    </row>
    <row r="41" spans="2:12">
      <c r="B41" s="12" t="s">
        <v>195</v>
      </c>
      <c r="L41" s="35"/>
    </row>
    <row r="42" spans="2:12">
      <c r="E42" s="35"/>
    </row>
    <row r="43" spans="2:12" hidden="1">
      <c r="E43" s="35"/>
    </row>
    <row r="44" spans="2:12" hidden="1">
      <c r="B44" t="s">
        <v>341</v>
      </c>
      <c r="D44">
        <v>426</v>
      </c>
      <c r="E44" s="35" t="s">
        <v>342</v>
      </c>
    </row>
    <row r="45" spans="2:12" hidden="1">
      <c r="B45" t="s">
        <v>343</v>
      </c>
      <c r="D45">
        <v>8.8999999999999996E-2</v>
      </c>
      <c r="E45" s="35"/>
    </row>
    <row r="46" spans="2:12" hidden="1">
      <c r="B46" t="s">
        <v>344</v>
      </c>
      <c r="D46">
        <f>D44*D45</f>
        <v>37.914000000000001</v>
      </c>
      <c r="E46" s="35"/>
    </row>
    <row r="47" spans="2:12" hidden="1">
      <c r="B47" t="s">
        <v>345</v>
      </c>
      <c r="E47" s="35"/>
    </row>
    <row r="48" spans="2:12" hidden="1">
      <c r="B48" t="s">
        <v>346</v>
      </c>
      <c r="D48">
        <v>0.25</v>
      </c>
      <c r="E48" s="35" t="s">
        <v>347</v>
      </c>
    </row>
    <row r="49" spans="2:5" hidden="1">
      <c r="B49" t="s">
        <v>348</v>
      </c>
      <c r="D49" t="s">
        <v>350</v>
      </c>
      <c r="E49" s="76" t="s">
        <v>349</v>
      </c>
    </row>
    <row r="50" spans="2:5" hidden="1">
      <c r="B50" t="s">
        <v>351</v>
      </c>
      <c r="D50">
        <f>0.25*10000</f>
        <v>2500</v>
      </c>
      <c r="E50" s="35"/>
    </row>
    <row r="51" spans="2:5">
      <c r="B51" s="71" t="s">
        <v>456</v>
      </c>
      <c r="E51" s="35"/>
    </row>
    <row r="52" spans="2:5">
      <c r="B52" s="90" t="s">
        <v>353</v>
      </c>
      <c r="C52" s="90" t="s">
        <v>352</v>
      </c>
      <c r="D52" s="90" t="s">
        <v>364</v>
      </c>
      <c r="E52" s="35"/>
    </row>
    <row r="53" spans="2:5">
      <c r="B53" s="1" t="s">
        <v>356</v>
      </c>
      <c r="C53" s="1">
        <v>32936</v>
      </c>
      <c r="D53" s="75">
        <f>C53/1000</f>
        <v>32.936</v>
      </c>
      <c r="E53" s="35"/>
    </row>
    <row r="54" spans="2:5">
      <c r="B54" s="1" t="s">
        <v>355</v>
      </c>
      <c r="C54" s="1">
        <v>5625</v>
      </c>
      <c r="D54" s="75">
        <f t="shared" ref="D54:D57" si="35">C54/1000</f>
        <v>5.625</v>
      </c>
    </row>
    <row r="55" spans="2:5">
      <c r="B55" s="1" t="s">
        <v>354</v>
      </c>
      <c r="C55" s="1">
        <v>4863</v>
      </c>
      <c r="D55" s="75">
        <f t="shared" si="35"/>
        <v>4.8630000000000004</v>
      </c>
      <c r="E55" s="35"/>
    </row>
    <row r="56" spans="2:5" ht="35.25" customHeight="1">
      <c r="B56" s="16" t="s">
        <v>357</v>
      </c>
      <c r="C56" s="1">
        <v>869</v>
      </c>
      <c r="D56" s="75">
        <f t="shared" si="35"/>
        <v>0.86899999999999999</v>
      </c>
      <c r="E56" s="35"/>
    </row>
    <row r="57" spans="2:5">
      <c r="B57" s="1" t="s">
        <v>359</v>
      </c>
      <c r="C57" s="1">
        <v>878.5</v>
      </c>
      <c r="D57" s="75">
        <f t="shared" si="35"/>
        <v>0.87849999999999995</v>
      </c>
    </row>
    <row r="58" spans="2:5">
      <c r="B58" s="12" t="s">
        <v>457</v>
      </c>
    </row>
    <row r="61" spans="2:5">
      <c r="B61" t="s">
        <v>369</v>
      </c>
    </row>
    <row r="62" spans="2:5">
      <c r="B62" s="90" t="s">
        <v>360</v>
      </c>
      <c r="C62" s="90">
        <v>814</v>
      </c>
    </row>
    <row r="63" spans="2:5">
      <c r="B63" s="1" t="s">
        <v>361</v>
      </c>
      <c r="C63" s="1">
        <v>982</v>
      </c>
    </row>
    <row r="64" spans="2:5">
      <c r="B64" s="1" t="s">
        <v>363</v>
      </c>
      <c r="C64" s="1">
        <v>564</v>
      </c>
    </row>
    <row r="65" spans="2:5">
      <c r="B65" s="1" t="s">
        <v>362</v>
      </c>
      <c r="C65" s="1">
        <v>1154</v>
      </c>
    </row>
    <row r="66" spans="2:5">
      <c r="B66" s="1" t="s">
        <v>146</v>
      </c>
      <c r="C66" s="1">
        <v>878.5</v>
      </c>
    </row>
    <row r="67" spans="2:5">
      <c r="B67" s="12" t="s">
        <v>457</v>
      </c>
    </row>
    <row r="69" spans="2:5">
      <c r="B69" s="71" t="s">
        <v>420</v>
      </c>
    </row>
    <row r="70" spans="2:5">
      <c r="B70" s="90"/>
      <c r="C70" s="90" t="s">
        <v>418</v>
      </c>
      <c r="D70" s="90" t="s">
        <v>419</v>
      </c>
      <c r="E70" s="90" t="s">
        <v>421</v>
      </c>
    </row>
    <row r="71" spans="2:5">
      <c r="B71" s="1" t="s">
        <v>56</v>
      </c>
      <c r="C71" s="67">
        <v>68387307.136227608</v>
      </c>
      <c r="D71" s="18">
        <v>288366.41666666669</v>
      </c>
      <c r="E71" s="75">
        <f>C71/D71/365*1000</f>
        <v>649.73753695220455</v>
      </c>
    </row>
    <row r="72" spans="2:5">
      <c r="B72" s="1" t="s">
        <v>57</v>
      </c>
      <c r="C72" s="1">
        <v>195251906.08141476</v>
      </c>
      <c r="D72" s="1">
        <v>803288.0459211847</v>
      </c>
      <c r="E72" s="75">
        <f>C72/D72/365*1000</f>
        <v>665.93388474582525</v>
      </c>
    </row>
    <row r="73" spans="2:5">
      <c r="B73" s="1" t="s">
        <v>55</v>
      </c>
      <c r="C73" s="1">
        <v>456399065.94072235</v>
      </c>
      <c r="D73" s="1">
        <v>1878078.1559999997</v>
      </c>
      <c r="E73" s="75">
        <f>C73/D73/365*1000</f>
        <v>665.79146125673572</v>
      </c>
    </row>
    <row r="74" spans="2:5">
      <c r="B74" s="1" t="s">
        <v>103</v>
      </c>
      <c r="C74" s="1">
        <v>27733700.624562275</v>
      </c>
      <c r="D74" s="1">
        <v>233079</v>
      </c>
      <c r="E74" s="75">
        <f>C74/D74/365*1000</f>
        <v>325.99565570968173</v>
      </c>
    </row>
    <row r="75" spans="2:5">
      <c r="B75" s="1" t="s">
        <v>100</v>
      </c>
      <c r="C75" s="1">
        <v>68387307.136227608</v>
      </c>
      <c r="D75" s="1">
        <v>288366.41666666669</v>
      </c>
      <c r="E75" s="75">
        <f>C75/D75/365*1000</f>
        <v>649.73753695220455</v>
      </c>
    </row>
  </sheetData>
  <mergeCells count="3">
    <mergeCell ref="B16:D16"/>
    <mergeCell ref="D4:H4"/>
    <mergeCell ref="I4:AB4"/>
  </mergeCells>
  <hyperlinks>
    <hyperlink ref="E49" r:id="rId1" location=":~:text=En%20el%20caso%20concreto%20de,dependiendo%20del%20lugar%20de%20manufactura." xr:uid="{C95A538E-14F2-4705-96D6-2DABF43D113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Tapa</vt:lpstr>
      <vt:lpstr>LímitesHC</vt:lpstr>
      <vt:lpstr>Resultados HC</vt:lpstr>
      <vt:lpstr>LímitesHH</vt:lpstr>
      <vt:lpstr>Resultados HH</vt:lpstr>
      <vt:lpstr>Transporte aéreo</vt:lpstr>
      <vt:lpstr>Transporte terrestre</vt:lpstr>
      <vt:lpstr>EstadíaHC</vt:lpstr>
      <vt:lpstr>EstadíaHH</vt:lpstr>
      <vt:lpstr>refInfo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UPB</cp:lastModifiedBy>
  <dcterms:created xsi:type="dcterms:W3CDTF">2022-07-20T22:07:14Z</dcterms:created>
  <dcterms:modified xsi:type="dcterms:W3CDTF">2022-11-29T21:17:37Z</dcterms:modified>
</cp:coreProperties>
</file>